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570" windowWidth="15570" windowHeight="9690" activeTab="2"/>
  </bookViews>
  <sheets>
    <sheet name="Form 2a-Planning" sheetId="19" r:id="rId1"/>
    <sheet name="Form 2e-Restart" sheetId="20" r:id="rId2"/>
    <sheet name="Barton Hill ES" sheetId="14" r:id="rId3"/>
    <sheet name="DATA Fields" sheetId="10" state="hidden" r:id="rId4"/>
  </sheets>
  <definedNames>
    <definedName name="_xlnm._FilterDatabase" localSheetId="2" hidden="1">'Barton Hill ES'!$A$7:$AC$88</definedName>
    <definedName name="_xlnm.Print_Area" localSheetId="2">'Barton Hill ES'!$A$1:$AC$107</definedName>
    <definedName name="_xlnm.Print_Area" localSheetId="0">'Form 2a-Planning'!$A$1:$F$17</definedName>
    <definedName name="_xlnm.Print_Area" localSheetId="1">'Form 2e-Restart'!$A$2:$E$47</definedName>
    <definedName name="_xlnm.Print_Titles" localSheetId="2">'Barton Hill ES'!$7:$7</definedName>
    <definedName name="_xlnm.Print_Titles" localSheetId="0">'Form 2a-Planning'!$2:$5</definedName>
    <definedName name="_xlnm.Print_Titles" localSheetId="1">'Form 2e-Restart'!$2:$6</definedName>
  </definedNames>
  <calcPr calcId="145621"/>
</workbook>
</file>

<file path=xl/calcChain.xml><?xml version="1.0" encoding="utf-8"?>
<calcChain xmlns="http://schemas.openxmlformats.org/spreadsheetml/2006/main">
  <c r="T59" i="14" l="1"/>
  <c r="AC103" i="14"/>
  <c r="Y103" i="14"/>
  <c r="T104" i="14"/>
  <c r="T19" i="14" l="1"/>
  <c r="T20" i="14"/>
  <c r="T76" i="14" l="1"/>
  <c r="Y22" i="14" l="1"/>
  <c r="Y47" i="14" s="1"/>
  <c r="AC19" i="14"/>
  <c r="AC46" i="14" s="1"/>
  <c r="Y19" i="14"/>
  <c r="T88" i="14"/>
  <c r="M63" i="14"/>
  <c r="AC54" i="14"/>
  <c r="Y54" i="14"/>
  <c r="T54" i="14"/>
  <c r="Y28" i="14"/>
  <c r="T28" i="14"/>
  <c r="Y52" i="14"/>
  <c r="T52" i="14"/>
  <c r="AC51" i="14"/>
  <c r="Y51" i="14"/>
  <c r="T51" i="14"/>
  <c r="AC27" i="14"/>
  <c r="Y27" i="14"/>
  <c r="T27" i="14"/>
  <c r="Y53" i="14"/>
  <c r="T21" i="14"/>
  <c r="Y50" i="14"/>
  <c r="T50" i="14"/>
  <c r="Y26" i="14"/>
  <c r="T26" i="14"/>
  <c r="Y49" i="14"/>
  <c r="T49" i="14"/>
  <c r="T22" i="14"/>
  <c r="AC16" i="14"/>
  <c r="Y16" i="14"/>
  <c r="T16" i="14"/>
  <c r="AC56" i="14"/>
  <c r="Y56" i="14"/>
  <c r="AC55" i="14"/>
  <c r="Y55" i="14"/>
  <c r="AC47" i="14"/>
  <c r="AC44" i="14"/>
  <c r="Y44" i="14"/>
  <c r="AC43" i="14"/>
  <c r="Y43" i="14"/>
  <c r="T8" i="14"/>
  <c r="T39" i="14"/>
  <c r="T38" i="14"/>
  <c r="E40" i="14"/>
  <c r="F40" i="14"/>
  <c r="G40" i="14"/>
  <c r="I40" i="14"/>
  <c r="J40" i="14"/>
  <c r="K40" i="14"/>
  <c r="L40" i="14"/>
  <c r="M40" i="14"/>
  <c r="P40" i="14"/>
  <c r="Q40" i="14"/>
  <c r="R40" i="14"/>
  <c r="S40" i="14"/>
  <c r="V40" i="14"/>
  <c r="W40" i="14"/>
  <c r="X40" i="14"/>
  <c r="Y40" i="14"/>
  <c r="AA40" i="14"/>
  <c r="AB40" i="14"/>
  <c r="AC40" i="14"/>
  <c r="D40" i="14"/>
  <c r="T34" i="14"/>
  <c r="T33" i="14"/>
  <c r="T32" i="14"/>
  <c r="E58" i="14"/>
  <c r="G58" i="14"/>
  <c r="I58" i="14"/>
  <c r="P58" i="14"/>
  <c r="Q58" i="14"/>
  <c r="R58" i="14"/>
  <c r="S58" i="14"/>
  <c r="V58" i="14"/>
  <c r="AA58" i="14"/>
  <c r="D58" i="14"/>
  <c r="AA35" i="14"/>
  <c r="V35" i="14"/>
  <c r="P35" i="14"/>
  <c r="I35" i="14"/>
  <c r="E35" i="14"/>
  <c r="F35" i="14"/>
  <c r="G35" i="14"/>
  <c r="D35" i="14"/>
  <c r="T31" i="14"/>
  <c r="AC8" i="14"/>
  <c r="AC41" i="14" s="1"/>
  <c r="Y8" i="14"/>
  <c r="Y41" i="14" s="1"/>
  <c r="T57" i="14" l="1"/>
  <c r="T40" i="14"/>
  <c r="Y46" i="14"/>
  <c r="T56" i="14"/>
  <c r="T55" i="14"/>
  <c r="T47" i="14"/>
  <c r="T46" i="14"/>
  <c r="T44" i="14"/>
  <c r="T43" i="14"/>
  <c r="T42" i="14"/>
  <c r="T41" i="14"/>
  <c r="Y91" i="14"/>
  <c r="Y88" i="14"/>
  <c r="Y75" i="14"/>
  <c r="Y17" i="14"/>
  <c r="Y45" i="14" s="1"/>
  <c r="Y35" i="14" l="1"/>
  <c r="Y58" i="14"/>
  <c r="Y93" i="14"/>
  <c r="T91" i="14"/>
  <c r="T75" i="14"/>
  <c r="T17" i="14"/>
  <c r="T35" i="14" l="1"/>
  <c r="T45" i="14"/>
  <c r="T58" i="14" s="1"/>
  <c r="T93" i="14" s="1"/>
  <c r="Y94" i="14"/>
  <c r="Y95" i="14" s="1"/>
  <c r="Y96" i="14" s="1"/>
  <c r="Y99" i="14" s="1"/>
  <c r="N56" i="14"/>
  <c r="N37" i="14"/>
  <c r="N40" i="14" s="1"/>
  <c r="N101" i="14"/>
  <c r="N95" i="14"/>
  <c r="N91" i="14"/>
  <c r="N84" i="14"/>
  <c r="N88" i="14" s="1"/>
  <c r="N71" i="14"/>
  <c r="N67" i="14"/>
  <c r="N66" i="14"/>
  <c r="N63" i="14"/>
  <c r="N61" i="14"/>
  <c r="N59" i="14"/>
  <c r="N54" i="14"/>
  <c r="N52" i="14"/>
  <c r="N51" i="14"/>
  <c r="N50" i="14"/>
  <c r="N49" i="14"/>
  <c r="N47" i="14"/>
  <c r="N29" i="14"/>
  <c r="N28" i="14"/>
  <c r="N27" i="14"/>
  <c r="N26" i="14"/>
  <c r="N22" i="14"/>
  <c r="N21" i="14"/>
  <c r="N19" i="14"/>
  <c r="N17" i="14"/>
  <c r="N16" i="14"/>
  <c r="N35" i="14" l="1"/>
  <c r="Y6" i="14"/>
  <c r="N58" i="14"/>
  <c r="T94" i="14"/>
  <c r="T95" i="14" s="1"/>
  <c r="T96" i="14" s="1"/>
  <c r="T99" i="14" s="1"/>
  <c r="N75" i="14"/>
  <c r="M66" i="14"/>
  <c r="N93" i="14" l="1"/>
  <c r="N96" i="14" s="1"/>
  <c r="N6" i="14" s="1"/>
  <c r="T6" i="14"/>
  <c r="M71" i="14"/>
  <c r="M67" i="14"/>
  <c r="N103" i="14" l="1"/>
  <c r="S95" i="14"/>
  <c r="S91" i="14"/>
  <c r="S79" i="14"/>
  <c r="S88" i="14" s="1"/>
  <c r="S73" i="14"/>
  <c r="S69" i="14"/>
  <c r="S17" i="14"/>
  <c r="S16" i="14"/>
  <c r="S8" i="14"/>
  <c r="S35" i="14" l="1"/>
  <c r="S75" i="14"/>
  <c r="M84" i="14"/>
  <c r="S93" i="14" l="1"/>
  <c r="S96" i="14" s="1"/>
  <c r="S6" i="14" s="1"/>
  <c r="M29" i="14"/>
  <c r="M49" i="14"/>
  <c r="S99" i="14" l="1"/>
  <c r="M21" i="14"/>
  <c r="M61" i="14" l="1"/>
  <c r="M101" i="14"/>
  <c r="M91" i="14"/>
  <c r="M88" i="14"/>
  <c r="M59" i="14"/>
  <c r="M47" i="14"/>
  <c r="M50" i="14"/>
  <c r="M51" i="14"/>
  <c r="M52" i="14"/>
  <c r="M54" i="14"/>
  <c r="M16" i="14"/>
  <c r="M17" i="14"/>
  <c r="M19" i="14"/>
  <c r="M22" i="14"/>
  <c r="M26" i="14"/>
  <c r="M27" i="14"/>
  <c r="M28" i="14"/>
  <c r="M95" i="14"/>
  <c r="L66" i="14"/>
  <c r="L71" i="14"/>
  <c r="L21" i="14"/>
  <c r="L20" i="14"/>
  <c r="L19" i="14"/>
  <c r="L22" i="14"/>
  <c r="L47" i="14"/>
  <c r="AC88" i="14"/>
  <c r="X79" i="14"/>
  <c r="X88" i="14" s="1"/>
  <c r="R79" i="14"/>
  <c r="R88" i="14" s="1"/>
  <c r="AB95" i="14"/>
  <c r="AB91" i="14"/>
  <c r="AB88" i="14"/>
  <c r="AB69" i="14"/>
  <c r="AB75" i="14" s="1"/>
  <c r="AB56" i="14"/>
  <c r="AB55" i="14"/>
  <c r="AB44" i="14"/>
  <c r="AB16" i="14"/>
  <c r="AB17" i="14"/>
  <c r="X95" i="14"/>
  <c r="X91" i="14"/>
  <c r="X69" i="14"/>
  <c r="X75" i="14" s="1"/>
  <c r="X56" i="14"/>
  <c r="X55" i="14"/>
  <c r="X17" i="14"/>
  <c r="X16" i="14"/>
  <c r="R95" i="14"/>
  <c r="R91" i="14"/>
  <c r="R73" i="14"/>
  <c r="R69" i="14"/>
  <c r="R17" i="14"/>
  <c r="R16" i="14"/>
  <c r="R8" i="14"/>
  <c r="L61" i="14"/>
  <c r="L52" i="14"/>
  <c r="L28" i="14"/>
  <c r="L16" i="14"/>
  <c r="L17" i="14"/>
  <c r="L26" i="14"/>
  <c r="L27" i="14"/>
  <c r="L101" i="14"/>
  <c r="L95" i="14"/>
  <c r="L91" i="14"/>
  <c r="L88" i="14"/>
  <c r="L59" i="14"/>
  <c r="L54" i="14"/>
  <c r="L51" i="14"/>
  <c r="L50" i="14"/>
  <c r="K8" i="14"/>
  <c r="K61" i="14"/>
  <c r="K59" i="14"/>
  <c r="K54" i="14"/>
  <c r="K52" i="14"/>
  <c r="K51" i="14"/>
  <c r="K50" i="14"/>
  <c r="K28" i="14"/>
  <c r="K27" i="14"/>
  <c r="K26" i="14"/>
  <c r="K95" i="14"/>
  <c r="K88" i="14"/>
  <c r="AC17" i="14"/>
  <c r="W17" i="14"/>
  <c r="W16" i="14"/>
  <c r="Q17" i="14"/>
  <c r="Q16" i="14"/>
  <c r="K17" i="14"/>
  <c r="K16" i="14"/>
  <c r="Q8" i="14"/>
  <c r="J41" i="14"/>
  <c r="J43" i="14"/>
  <c r="J44" i="14"/>
  <c r="J46" i="14"/>
  <c r="J47" i="14"/>
  <c r="K91" i="14"/>
  <c r="G91" i="14"/>
  <c r="G88" i="14"/>
  <c r="G75" i="14"/>
  <c r="G95" i="14"/>
  <c r="AC75" i="14"/>
  <c r="W69" i="14"/>
  <c r="W75" i="14" s="1"/>
  <c r="Q69" i="14"/>
  <c r="F91" i="14"/>
  <c r="F88" i="14"/>
  <c r="F75" i="14"/>
  <c r="F54" i="14"/>
  <c r="F58" i="14" s="1"/>
  <c r="F95" i="14"/>
  <c r="E91" i="14"/>
  <c r="E88" i="14"/>
  <c r="E75" i="14"/>
  <c r="E95" i="14"/>
  <c r="J69" i="14"/>
  <c r="J75" i="14" s="1"/>
  <c r="J94" i="14"/>
  <c r="J95" i="14" s="1"/>
  <c r="I91" i="14"/>
  <c r="I88" i="14"/>
  <c r="I69" i="14"/>
  <c r="I73" i="14"/>
  <c r="I95" i="14"/>
  <c r="J16" i="14"/>
  <c r="W56" i="14"/>
  <c r="W55" i="14"/>
  <c r="J56" i="14"/>
  <c r="J55" i="14"/>
  <c r="AC91" i="14"/>
  <c r="W95" i="14"/>
  <c r="W91" i="14"/>
  <c r="W88" i="14"/>
  <c r="V69" i="14"/>
  <c r="V75" i="14" s="1"/>
  <c r="V88" i="14"/>
  <c r="V91" i="14"/>
  <c r="V95" i="14"/>
  <c r="Q95" i="14"/>
  <c r="Q91" i="14"/>
  <c r="Q88" i="14"/>
  <c r="Q73" i="14"/>
  <c r="J91" i="14"/>
  <c r="J88" i="14"/>
  <c r="P69" i="14"/>
  <c r="P73" i="14"/>
  <c r="AA69" i="14"/>
  <c r="AA75" i="14" s="1"/>
  <c r="AA88" i="14"/>
  <c r="P88" i="14"/>
  <c r="D88" i="14"/>
  <c r="AA91" i="14"/>
  <c r="P91" i="14"/>
  <c r="D91" i="14"/>
  <c r="D75" i="14"/>
  <c r="AA95" i="14"/>
  <c r="P95" i="14"/>
  <c r="AB58" i="14" l="1"/>
  <c r="X58" i="14"/>
  <c r="L35" i="14"/>
  <c r="W35" i="14"/>
  <c r="K75" i="14"/>
  <c r="X35" i="14"/>
  <c r="AB35" i="14"/>
  <c r="AC35" i="14"/>
  <c r="AC45" i="14"/>
  <c r="AC58" i="14" s="1"/>
  <c r="K35" i="14"/>
  <c r="R35" i="14"/>
  <c r="M35" i="14"/>
  <c r="I75" i="14"/>
  <c r="I93" i="14" s="1"/>
  <c r="I96" i="14" s="1"/>
  <c r="I6" i="14" s="1"/>
  <c r="Q35" i="14"/>
  <c r="M58" i="14"/>
  <c r="J45" i="14"/>
  <c r="J58" i="14" s="1"/>
  <c r="J35" i="14"/>
  <c r="K58" i="14"/>
  <c r="L58" i="14"/>
  <c r="W58" i="14"/>
  <c r="M75" i="14"/>
  <c r="P75" i="14"/>
  <c r="P93" i="14" s="1"/>
  <c r="P96" i="14" s="1"/>
  <c r="P6" i="14" s="1"/>
  <c r="R75" i="14"/>
  <c r="Q75" i="14"/>
  <c r="L75" i="14"/>
  <c r="G93" i="14"/>
  <c r="G96" i="14" s="1"/>
  <c r="G99" i="14" s="1"/>
  <c r="V93" i="14"/>
  <c r="V96" i="14" s="1"/>
  <c r="V6" i="14" s="1"/>
  <c r="AA93" i="14"/>
  <c r="AA96" i="14" s="1"/>
  <c r="AA6" i="14" s="1"/>
  <c r="D93" i="14"/>
  <c r="D94" i="14" s="1"/>
  <c r="D95" i="14" s="1"/>
  <c r="F93" i="14"/>
  <c r="F96" i="14" s="1"/>
  <c r="F6" i="14" s="1"/>
  <c r="E93" i="14"/>
  <c r="E96" i="14" s="1"/>
  <c r="E6" i="14" s="1"/>
  <c r="W93" i="14" l="1"/>
  <c r="W96" i="14" s="1"/>
  <c r="W6" i="14" s="1"/>
  <c r="K93" i="14"/>
  <c r="K96" i="14" s="1"/>
  <c r="K6" i="14" s="1"/>
  <c r="AB93" i="14"/>
  <c r="AB96" i="14" s="1"/>
  <c r="AB99" i="14" s="1"/>
  <c r="AC93" i="14"/>
  <c r="AC94" i="14" s="1"/>
  <c r="AC95" i="14" s="1"/>
  <c r="AC96" i="14" s="1"/>
  <c r="AC99" i="14" s="1"/>
  <c r="R93" i="14"/>
  <c r="R96" i="14" s="1"/>
  <c r="R99" i="14" s="1"/>
  <c r="X93" i="14"/>
  <c r="X96" i="14" s="1"/>
  <c r="X6" i="14" s="1"/>
  <c r="M93" i="14"/>
  <c r="M96" i="14" s="1"/>
  <c r="M103" i="14" s="1"/>
  <c r="L93" i="14"/>
  <c r="L96" i="14" s="1"/>
  <c r="L6" i="14" s="1"/>
  <c r="Q93" i="14"/>
  <c r="Q96" i="14" s="1"/>
  <c r="Q99" i="14" s="1"/>
  <c r="J93" i="14"/>
  <c r="J96" i="14" s="1"/>
  <c r="J6" i="14" s="1"/>
  <c r="G6" i="14"/>
  <c r="D96" i="14"/>
  <c r="D6" i="14" s="1"/>
  <c r="F99" i="14"/>
  <c r="W99" i="14" l="1"/>
  <c r="AB6" i="14"/>
  <c r="M6" i="14"/>
  <c r="X99" i="14"/>
  <c r="L103" i="14"/>
  <c r="R6" i="14"/>
  <c r="Q6" i="14"/>
  <c r="AC6" i="14"/>
  <c r="E99" i="14"/>
</calcChain>
</file>

<file path=xl/comments1.xml><?xml version="1.0" encoding="utf-8"?>
<comments xmlns="http://schemas.openxmlformats.org/spreadsheetml/2006/main">
  <authors>
    <author>LAUSD</author>
  </authors>
  <commentList>
    <comment ref="N61" authorId="0">
      <text>
        <r>
          <rPr>
            <sz val="9"/>
            <color indexed="81"/>
            <rFont val="Tahoma"/>
            <family val="2"/>
          </rPr>
          <t>PO # 4500330384 (budget $52,000, actual $49,022.77)
PO # 4500354531</t>
        </r>
      </text>
    </comment>
    <comment ref="M68" authorId="0">
      <text>
        <r>
          <rPr>
            <sz val="9"/>
            <color indexed="81"/>
            <rFont val="Tahoma"/>
            <family val="2"/>
          </rPr>
          <t>PO # 4500356525</t>
        </r>
      </text>
    </comment>
    <comment ref="N68" authorId="0">
      <text>
        <r>
          <rPr>
            <sz val="9"/>
            <color indexed="81"/>
            <rFont val="Tahoma"/>
            <family val="2"/>
          </rPr>
          <t>PO # 4500356525</t>
        </r>
      </text>
    </comment>
    <comment ref="M76" authorId="0">
      <text>
        <r>
          <rPr>
            <sz val="9"/>
            <color indexed="81"/>
            <rFont val="Tahoma"/>
            <family val="2"/>
          </rPr>
          <t>PO # 4500320478</t>
        </r>
      </text>
    </comment>
    <comment ref="N76" authorId="0">
      <text>
        <r>
          <rPr>
            <sz val="9"/>
            <color indexed="81"/>
            <rFont val="Tahoma"/>
            <family val="2"/>
          </rPr>
          <t>PO # 4500320478</t>
        </r>
      </text>
    </comment>
    <comment ref="M77" authorId="0">
      <text>
        <r>
          <rPr>
            <sz val="9"/>
            <color indexed="81"/>
            <rFont val="Tahoma"/>
            <family val="2"/>
          </rPr>
          <t>PO # 4500356052</t>
        </r>
      </text>
    </comment>
    <comment ref="N77" authorId="0">
      <text>
        <r>
          <rPr>
            <sz val="9"/>
            <color indexed="81"/>
            <rFont val="Tahoma"/>
            <family val="2"/>
          </rPr>
          <t>PO # 4500356052</t>
        </r>
      </text>
    </comment>
    <comment ref="M79" authorId="0">
      <text>
        <r>
          <rPr>
            <sz val="9"/>
            <color indexed="81"/>
            <rFont val="Tahoma"/>
            <family val="2"/>
          </rPr>
          <t>PO # 4500336807</t>
        </r>
      </text>
    </comment>
    <comment ref="N79" authorId="0">
      <text>
        <r>
          <rPr>
            <sz val="9"/>
            <color indexed="81"/>
            <rFont val="Tahoma"/>
            <family val="2"/>
          </rPr>
          <t>PO # 4500336807</t>
        </r>
      </text>
    </comment>
    <comment ref="F96" authorId="0">
      <text>
        <r>
          <rPr>
            <sz val="9"/>
            <color indexed="81"/>
            <rFont val="Tahoma"/>
            <family val="2"/>
          </rPr>
          <t>new FY 2016-17 total.  savings of $26,497 from late start of SIG coordinator reallocated to FY 2017-18 to fund South Bay Center for Counseling (SBCC) contract</t>
        </r>
      </text>
    </comment>
    <comment ref="J96" authorId="0">
      <text>
        <r>
          <rPr>
            <sz val="9"/>
            <color indexed="81"/>
            <rFont val="Tahoma"/>
            <family val="2"/>
          </rPr>
          <t>includes carryover of $26,497 from FY 2016-17</t>
        </r>
      </text>
    </comment>
    <comment ref="R99" authorId="0">
      <text>
        <r>
          <rPr>
            <sz val="10"/>
            <color indexed="81"/>
            <rFont val="Tahoma"/>
            <family val="2"/>
          </rPr>
          <t>must show zero or - to balance before sending to CDE for approval</t>
        </r>
      </text>
    </comment>
    <comment ref="L103" authorId="0">
      <text>
        <r>
          <rPr>
            <sz val="10"/>
            <color indexed="81"/>
            <rFont val="Tahoma"/>
            <family val="2"/>
          </rPr>
          <t>must show zero or - to balance before sending to CDE for approval</t>
        </r>
      </text>
    </comment>
    <comment ref="M103" authorId="0">
      <text>
        <r>
          <rPr>
            <sz val="10"/>
            <color indexed="81"/>
            <rFont val="Tahoma"/>
            <family val="2"/>
          </rPr>
          <t>must show zero or - to balance before sending to CDE for approval</t>
        </r>
      </text>
    </comment>
    <comment ref="N103" authorId="0">
      <text>
        <r>
          <rPr>
            <sz val="10"/>
            <color indexed="81"/>
            <rFont val="Tahoma"/>
            <family val="2"/>
          </rPr>
          <t>must show zero or - to balance before sending to CDE for approval</t>
        </r>
      </text>
    </comment>
  </commentList>
</comments>
</file>

<file path=xl/sharedStrings.xml><?xml version="1.0" encoding="utf-8"?>
<sst xmlns="http://schemas.openxmlformats.org/spreadsheetml/2006/main" count="340" uniqueCount="247">
  <si>
    <t>CA Dept of Education April 2016</t>
  </si>
  <si>
    <t>* When developing the budget, the LEA should only request up to 10 percent of its total proposed award for planning activities.</t>
  </si>
  <si>
    <t xml:space="preserve">Proposed Total Budget Amount (Enter Data) </t>
  </si>
  <si>
    <t>Model Component Number</t>
  </si>
  <si>
    <t>Activity Description</t>
  </si>
  <si>
    <t>Object Codes</t>
  </si>
  <si>
    <t>FY 2016-17 Budget</t>
  </si>
  <si>
    <t>FY 2017-18 Budget</t>
  </si>
  <si>
    <t>FY 2018-19 Budget</t>
  </si>
  <si>
    <t>FY 2019-20 Budget</t>
  </si>
  <si>
    <t>FY 2020-21 Budget</t>
  </si>
  <si>
    <t>1000 Series Totals</t>
  </si>
  <si>
    <t>1000-1999</t>
  </si>
  <si>
    <t>2000 Series Totals</t>
  </si>
  <si>
    <t>2000-2999</t>
  </si>
  <si>
    <t>3000 Series Totals</t>
  </si>
  <si>
    <t>3000-3999</t>
  </si>
  <si>
    <t>4000 Series Totals</t>
  </si>
  <si>
    <t>4000-4999</t>
  </si>
  <si>
    <t>5000 Series Totals</t>
  </si>
  <si>
    <t>5000-5999</t>
  </si>
  <si>
    <t>6000 Series Totals</t>
  </si>
  <si>
    <t>6000-6999</t>
  </si>
  <si>
    <t>1000 - 6000 Budget Subtotals</t>
  </si>
  <si>
    <t>Indirect Rate</t>
  </si>
  <si>
    <t>7000 Series Totals</t>
  </si>
  <si>
    <t>7310/7350</t>
  </si>
  <si>
    <t>Totals</t>
  </si>
  <si>
    <t xml:space="preserve"> </t>
  </si>
  <si>
    <t xml:space="preserve">Leadership Team Planning and Collaboration Time Benefits </t>
  </si>
  <si>
    <t>Grade Level Chair X/Z Time Benefits</t>
  </si>
  <si>
    <t>Intervention Support Coordinator Benefits</t>
  </si>
  <si>
    <t>Instructional Coaches Benefits</t>
  </si>
  <si>
    <t>Intervention Teachers Benefits</t>
  </si>
  <si>
    <t>Custodial Overtime Benefits</t>
  </si>
  <si>
    <t>Planning</t>
  </si>
  <si>
    <t>Full Implementation</t>
  </si>
  <si>
    <t>Sustainability</t>
  </si>
  <si>
    <t xml:space="preserve"> RS 04
TF 05</t>
  </si>
  <si>
    <t>RS 04
TF 05</t>
  </si>
  <si>
    <t>RS 04
TF 09</t>
  </si>
  <si>
    <t>Extended School Day Benefits - certificated</t>
  </si>
  <si>
    <t>Staff X/Z Time for Planning Sessions Benefits</t>
  </si>
  <si>
    <t>Saturday School Benefits - Certificated</t>
  </si>
  <si>
    <t>RS 04
TF 07</t>
  </si>
  <si>
    <t>SIG School Coordinator Benefits</t>
  </si>
  <si>
    <t>Clerical Overtime Benefits</t>
  </si>
  <si>
    <t>RS 04
TF 07
TF 09</t>
  </si>
  <si>
    <t xml:space="preserve">RS 04
TF 07 </t>
  </si>
  <si>
    <t>Barton Hill Elementary School</t>
  </si>
  <si>
    <r>
      <rPr>
        <b/>
        <sz val="12"/>
        <rFont val="Arial"/>
        <family val="2"/>
      </rPr>
      <t>Leadership team planning and collaboration time</t>
    </r>
    <r>
      <rPr>
        <sz val="12"/>
        <rFont val="Arial"/>
        <family val="2"/>
      </rPr>
      <t xml:space="preserve"> for implementing Restart Model and Common Core Implemetation.
6 teachers x 17 hrs x $65/hr = $6,630</t>
    </r>
  </si>
  <si>
    <t>RS 04
TF 08</t>
  </si>
  <si>
    <t>RS 04
TF 05
TF 08
TF 09</t>
  </si>
  <si>
    <t>Fountas and Pinnell Literacy Assessment Kit 1 ( 5 kits at $485 each) for intervention coordinators and intervention teachers to diagnose student literacy needs for RTI intervention instruction
Fountas and Pinnell Literacy Assessment Kit 2 (5 kits at $485 each) for intervention coordinators and intervention teachers to diagnose students for RTI literacy intervention
95% Group k-2 assessment notebooks (15 at $35) for classroom teachers and the put of classroom literacy team to assess students in phonological awareness and phonics for RTI intervention instruction.  These assessments will determine the lessons and skills to place the students in the 95% Groups phonics and phonological awareness kits.
95% Group Teaching Blending books (15 at $48 each) are classroom resources for teachers and the out of classroom literacy team to phonics, syllabication in a whole class setting or small group setting.
Fosnot Math Kits  k-3 ( 20 kits at $215) to support researched-based math instruction in the problem-solving math and to meet the Common Core Standards</t>
  </si>
  <si>
    <t>LEA Name: Los Angeles Unified School District</t>
  </si>
  <si>
    <t>School Name: Barton Hill Elementary School</t>
  </si>
  <si>
    <t xml:space="preserve"> Actions and Activities</t>
  </si>
  <si>
    <t>Start and End Dates MM/YYYY</t>
  </si>
  <si>
    <t xml:space="preserve">Description of how those activities will lead to successful implementation of the selected intervention </t>
  </si>
  <si>
    <t>Family and Community Engagement- community meetings</t>
  </si>
  <si>
    <t xml:space="preserve">11/2016 - 06/2017 </t>
  </si>
  <si>
    <t>Family and Community Engagement-communication</t>
  </si>
  <si>
    <t>11/2016 - 06/2017</t>
  </si>
  <si>
    <t>Rigorous Review of External Providers</t>
  </si>
  <si>
    <t xml:space="preserve">10/2016 - 01/2017
02/2017 - 06/2017
 </t>
  </si>
  <si>
    <t>Staffing</t>
  </si>
  <si>
    <t xml:space="preserve"> 10/2016 - 03/2017
03/2017 - 05/2017
</t>
  </si>
  <si>
    <t>Instructional Programs-Identifying and purchasing</t>
  </si>
  <si>
    <t xml:space="preserve"> 10/2016 - 06/2017
</t>
  </si>
  <si>
    <t>Instructional Programs- Staff Compensation</t>
  </si>
  <si>
    <t>Professional Development and Training Staff</t>
  </si>
  <si>
    <t xml:space="preserve"> 11/2016 - 06/2017
</t>
  </si>
  <si>
    <t>Preparations of Accountability Measures</t>
  </si>
  <si>
    <t>10/2016 - 06/2017</t>
  </si>
  <si>
    <t>SIG Form 2e—Restart Implementation Chart for a Tier I or Tier II School</t>
  </si>
  <si>
    <t xml:space="preserve">Required Component </t>
  </si>
  <si>
    <t>Strategy/Evidence-based Strategy</t>
  </si>
  <si>
    <t>Start and End Dates (MM/YYYY)</t>
  </si>
  <si>
    <t>Oversight</t>
  </si>
  <si>
    <t xml:space="preserve">Description of Evidence </t>
  </si>
  <si>
    <t>Fulfill all California requirements for converting to a charter school (if applicable).</t>
  </si>
  <si>
    <t>N/A</t>
  </si>
  <si>
    <t xml:space="preserve">RS 01: Create a locally-determined rigorous review process for the purposes of selecting a charter management organization (CMO) or an education management organization (EMO). </t>
  </si>
  <si>
    <t xml:space="preserve"> Barton Hill is going to analyze student data and conduct classroom observations to discover what type of instruction is being delivered to the students. The team will be looking for differentiated and small group instruction in order for all students to thrive. THE selected EMO will meet the following criteria:
1. Satisfy our instructional needs discovered during the data analysis and classroom observations. 
2. Have Elementary specialty to meet the instructional needs at our school.  
3. Specializes in the Balanced Literacy foundation of workshop based learning. 
4. Able to  implement new and revised instructional programs and policies that are aligned with the Barton Hill’s comprehensive instructional plan and the Restart Model. 
5. Able to plan and get the teachers  aligned vertically from one grade level to another, collaborating within and across disciplines and devising assessments.
6. Assist  in the implementation for the Restart Model while helping us to identify and purchase curriculum and instructional materials that are research-based and aligned with State academic standards and have data-driven evidence of raising student achievement.
</t>
  </si>
  <si>
    <t>11/2016 - 06/2021</t>
  </si>
  <si>
    <t xml:space="preserve"> Principal, Director,  SIG Administrator, Instructional Coach, Assistant Principals, SIG Committee</t>
  </si>
  <si>
    <t>Meetings will be attended by all determining parties.  The process of creating a contract with an EMO will be reviewed at meetings as well.  We will also present the process of selecting an EMO for the Sate to review.  Evidence will include  meeting sign-up sheets and minutes, the final EMO MOU, and LAUSD Board of Education Agenda and Minutes</t>
  </si>
  <si>
    <t xml:space="preserve">The SIG Committee will conduct the rigorous review process to select an EMO and contract with that entity (this contract including ongoing intensive technical assistance and related support form a designated external Lead Partner organization), or properly recruit, screen, and select any external providers that may be necessary to assist in planning for the implementation of an intervention model. The SIG Committee is made up of: Michael Pile - Administrative Rep., Diana Fleming - Classified Rep., Carolina Chadwick - Out-of-Classroom Rep., SIG Coordinator, Cesar Morales - Parent Rep., Sharon Haylock -  Grades 5 and 6 Rep., Margaret Hurley - Grades 3 and 4 Rep., Tara Crawshaw -  Grades 1 and 2 Rep., Estela Marin - Prek/K Rep., and Chigusa Nakazano - UTLA Rep.   The recruitment process will look as follows for the EMO and external providers:
</t>
  </si>
  <si>
    <t>RS 02: Create a plan to transfer students who either cannot attend the new school because their grade is no longer served by the Restart school or whose parents choose not to have their child attend the Restart school.</t>
  </si>
  <si>
    <t xml:space="preserve"> Intervention Coordinator, SIG Coordinator, Instructional Coach EMO</t>
  </si>
  <si>
    <t>• Parents can have a SIG Restart Information meeting with the Principal and SIG Coordinator to provide information and benefits for their child about the new model at Barton Hill before the parents decided to opt-out of the program.
• School enrollment records parent requests for opt-out plans and evidence of opt-out plans
• Parent requests for opt-out plans and evidence of opt-out plans</t>
  </si>
  <si>
    <t xml:space="preserve">   </t>
  </si>
  <si>
    <t>RS 03: Create an accountability contract with the CMO or EMO which includes clearly defined goals for student achievement.</t>
  </si>
  <si>
    <t xml:space="preserve"> Principal, Director,  SIG Coordinator, Instructional Coach, Assistant Principals, SIG Committee</t>
  </si>
  <si>
    <t>Contract between LAUSD and the EMO</t>
  </si>
  <si>
    <t>RS 04: Optional Component</t>
  </si>
  <si>
    <t>TF 05: Provide staff ongoing, high-quality, job-embedded professional development that is aligned with the school’s comprehensive instructional program and designed with school staff to ensure they are equipped to facilitate effective teaching and learning and have the capacity to implement successfully school reform strategies.</t>
  </si>
  <si>
    <t>The EMO will establish a residency at Barton Hill Elementary.  Residencies are 2 to 4 week cycles of professional development provided on-site by the EMO. Cycles run concurrently so that there is an EMO content expert on campus at all times. Residencies transform teacher practice by providing intensive training and support across all content areas.  Balanced Literacy delivered through the Readers and Writers Workshop models will be an area of focus.  Instructional materials will support, games/activities for  these new programs. In addition to the ELA and Balanced literacy instruction, Mathematics, Science, and Social Studies will also be supported by the EMO.  Support will include:</t>
  </si>
  <si>
    <t xml:space="preserve"> Principal, Director , EMO, Administrative Team, SIG Committee, SIG Coordinator,  out of classroom team (instructional coach, intervention coordinator, and Title 1/ Bilingual Coordinator), and contracted experts in Math and ELA.</t>
  </si>
  <si>
    <t xml:space="preserve"> Contracts between the experts will be created with the SIG Committee.  The SIG Committee is comprised of the principal, an out of classroom representative, the UTLA Representative, parent representative, a classified representative, and grade level representatives from TK-6th grade.  The principal will also ensure that PD is being delivered as described. Administrative Team, out-of-classroom team, experts, the EMO, and SIG Committee will help plan and sometimes  deliver PD.</t>
  </si>
  <si>
    <t>Teachers will have time for professional development, planning, and collaboration.  The School Improvement Grant money will support additional services and to pay the teachers and other faculty for professional development time that is in addition to and outside of the contracted time.  PD received will be monitored by the principal and the EMO.  Teachers will be provided with clear expectations for the implementation of topics and strategies presented.</t>
  </si>
  <si>
    <t xml:space="preserve">
Barton Hill will also have grade level chairs and teacher planning for Common Core Lesson Study in ELA and Math. This will also include leadership planning and SIG Committee planning time to meet and plan.</t>
  </si>
  <si>
    <t>TF 07: Use data to identify and implement an instructional program that is researched-based and vertically aligned from one grade to the next as well as aligned with California’s adopted academic standards</t>
  </si>
  <si>
    <t xml:space="preserve"> 11/2016 - 06/2021</t>
  </si>
  <si>
    <t xml:space="preserve"> Principal, LAUSD, administrative team, out of classroom team, director, SIG Coordinator</t>
  </si>
  <si>
    <t xml:space="preserve"> Assessment data like DIBELS, TRC, and Smarter balance interim assessments will be available online to monitor.  A copy of other assessment data will be in each classroom and a copy of all classroom data will be kept in the SIG Coordinator’s office and record of student data on the computer will monitor student assessment data and can be emailed to LAUSD.</t>
  </si>
  <si>
    <t xml:space="preserve"> Data results will be stored in classrooms and a copy of all school assessment results will be kept in the SIG Coordinator’s office for LAUSD, teachers.  Experts, out of classroom team, and the EMO to access.  Online data results for Smarter Balance, DIBELS, and TRC can be monitored by LAUSD as well. </t>
  </si>
  <si>
    <t>TF 09: Establish schedules and implement strategies that provide increased learning time.</t>
  </si>
  <si>
    <t xml:space="preserve">Barton Hill will extend the minutes during the learning day for “increased learning time” in instruction in core academic subjects like English Language Arts and Mathematics, instruction in areas of enrichment activities like physical education, social and behavioral instruction, and art.  Time will be beyond the contracted school day for teachers to collaborate, plan, and engage in professional development across grade levels and subjects. </t>
  </si>
  <si>
    <t xml:space="preserve">Student data will determine student need for intervention and extra instruction using extended minutes for CORE academic areas and enrichment.  Barton Hill will differentiate instruction to support the English Language Learner Population, the Students with disabilities, the Gifted and Talented, Reclassified Fluent English Proficient students, Socioeconomically disadvantaged students, Standard English Learners, and Foster Youth.  </t>
  </si>
  <si>
    <t xml:space="preserve">The extended learning day for the students will be and increased school day by 30 minutes a day.  The teachers day will also be extended by 30 minutes.  The SIG money is needed to compensate the teachers for the instruction minutes beyond the contract time.  This will add an extra 30 minutes overall for core academic instruction and 30 minutes in enrichment instruction. </t>
  </si>
  <si>
    <t xml:space="preserve"> TF 10-Provide ongoing mechanisms for family and community engagement</t>
  </si>
  <si>
    <t xml:space="preserve"> Principal, SIG Coordinator, Bilingual/Title 1 Coordinators, Parent Center Representatives, Administrative Team, SIG Committee, and out of classroom team</t>
  </si>
  <si>
    <t xml:space="preserve"> Evidence of this will be postings on the Barton Hill PTO webpage, posting on the Barton Hill Alumni webpage, flyer, connect-ends, and monthly newsletters.  There will also be parent meetings on the Barton Hill campus.</t>
  </si>
  <si>
    <t>TF 08: Promote the continuous use of student data to inform and differentiate instruction in order to meet the academic needs of individual students.</t>
  </si>
  <si>
    <t xml:space="preserve"> Principal, SIG Committee</t>
  </si>
  <si>
    <t xml:space="preserve"> The principal and SIG Coordinator will keep documentation and time cards for the clerical and custodial overtime.  The SIG Committee will collaborate with the SIG Coordinator.</t>
  </si>
  <si>
    <t xml:space="preserve">Barton Hill will use the cycle of instruction to screen and diagnose student learning needs.  With the student assessment data, Barton Hill will be able to prescribe the appropriate instructional program and activity to meet the individual learning need.  After the instructions given, then the students’ will be assessed to determine if the learning need is met or if more instructions needed.  Teachers will be assessing every 4 to 6 weeks in mathematics and English Language Arts.  Barton Hill will also revise and implement school-wide assessments in all core curricular areas to monitor student learning needs.  With the SIG money, Barton Hill will purchase the 95% Group k-2 notebooks to assess and diagnose students needs in phonological awareness and phonics.  The SIG money will also purchase the Fountas and Pinnell Literacy Assessment System for the intervention coordinators and the intervention teacher in ELA to assess and diagnose student RTI intervention needs. </t>
  </si>
  <si>
    <t xml:space="preserve"> Data results will be stored in classrooms and a copy of all school assessment results will be kept in the SIG Coordinator’s office</t>
  </si>
  <si>
    <t>TF 11: Ensure that the school receives ongoing, intensive technical assistance and related support from the local educational agency, the state educational agency, or a designated external lead partner organization (such as a school turnaround organization or an educational management organization)</t>
  </si>
  <si>
    <t xml:space="preserve">In addition to the selected EMO, the LAUSD SIG Office will:
1) oversee the implementation of the school plans;
2) provide resource and technical support throughout the grant, along with monitoring and overseeing the ongoing evaluation;
3) provide expert guidance and PD to support the curriculum and instruction;
4) gather and analyze report data; assess school performance against established achievement goals
5) offer actionable recommendations for necessary changes and monitor the SIG budget implementation for each school. </t>
  </si>
  <si>
    <t>LAUSD Division of Instruction - SIG Office</t>
  </si>
  <si>
    <t>Agendas, sign-ins, school visit logs, communication (emails, website)</t>
  </si>
  <si>
    <t>FY 2016-17
Budget Revision</t>
  </si>
  <si>
    <t>difference</t>
  </si>
  <si>
    <r>
      <rPr>
        <b/>
        <sz val="12"/>
        <rFont val="Arial"/>
        <family val="2"/>
      </rPr>
      <t>School Improvement Grant</t>
    </r>
    <r>
      <rPr>
        <sz val="12"/>
        <rFont val="Arial"/>
        <family val="2"/>
      </rPr>
      <t xml:space="preserve">
Cohort 4</t>
    </r>
  </si>
  <si>
    <r>
      <rPr>
        <b/>
        <sz val="12"/>
        <rFont val="Arial"/>
        <family val="2"/>
      </rPr>
      <t>Teacher Reference Books</t>
    </r>
    <r>
      <rPr>
        <sz val="12"/>
        <rFont val="Arial"/>
        <family val="2"/>
      </rPr>
      <t xml:space="preserve"> - Reference books will be purchased to assist teachers in building their capacity in their grade level content areas.  Books purchased will be aligned with the instructional needs of the school. This will also include Units of Study from the Techers College in both Reading and Writing and Words Their Way teacher resources for phonics and phonemic awareness instruction.</t>
    </r>
  </si>
  <si>
    <r>
      <t>Supplemental Instructional Programs</t>
    </r>
    <r>
      <rPr>
        <b/>
        <sz val="12"/>
        <rFont val="Arial"/>
        <family val="2"/>
      </rPr>
      <t xml:space="preserve"> Instructional Materials and supplies</t>
    </r>
    <r>
      <rPr>
        <sz val="12"/>
        <rFont val="Arial"/>
        <family val="2"/>
      </rPr>
      <t xml:space="preserve"> to store and organize new instructional programs materials (book baggies book bins, plastic tubs), materials to make new instructional games/activities (tag board, manipulatives for game pieces, plastic storage bins, etc.), and materials for teachers to organize the new professional development materials and instructional programs ( binders, tubs,  etc.)</t>
    </r>
  </si>
  <si>
    <r>
      <rPr>
        <b/>
        <sz val="12"/>
        <rFont val="Arial"/>
        <family val="2"/>
      </rPr>
      <t>TRC Assessment kits</t>
    </r>
    <r>
      <rPr>
        <sz val="12"/>
        <rFont val="Arial"/>
        <family val="2"/>
      </rPr>
      <t xml:space="preserve"> (30 at $99) reading assessment to help the school-site and LAUSD  monitor students' reading assessment data and for teachers to assess students in comprehension and a miscue analysis to determine the reading instructional, independent , intervention needs and levels.</t>
    </r>
  </si>
  <si>
    <r>
      <rPr>
        <b/>
        <sz val="12"/>
        <rFont val="Arial"/>
        <family val="2"/>
      </rPr>
      <t>Instructional Materials:</t>
    </r>
    <r>
      <rPr>
        <sz val="12"/>
        <rFont val="Arial"/>
        <family val="2"/>
      </rPr>
      <t xml:space="preserve">
95% </t>
    </r>
    <r>
      <rPr>
        <b/>
        <sz val="12"/>
        <rFont val="Arial"/>
        <family val="2"/>
      </rPr>
      <t xml:space="preserve">Group Deluxe Phonological Awareness Kit </t>
    </r>
    <r>
      <rPr>
        <sz val="12"/>
        <rFont val="Arial"/>
        <family val="2"/>
      </rPr>
      <t xml:space="preserve">(12 kits at $390 each kit) to focus and be used in classroom by teachers and instructional aides and by the  intervention coordinators and intervention teachers in  classrooms for literacy foundation skills intervention.
95% </t>
    </r>
    <r>
      <rPr>
        <b/>
        <sz val="12"/>
        <rFont val="Arial"/>
        <family val="2"/>
      </rPr>
      <t>Group Phonics Basic kits</t>
    </r>
    <r>
      <rPr>
        <sz val="12"/>
        <rFont val="Arial"/>
        <family val="2"/>
      </rPr>
      <t xml:space="preserve"> ( 12 kits at $140) each kit) to focus and be used in classroom and in the intervention coordinators and intervention teachers classrooms for literacy foundation skills ,RTI intervention, and meet the core curriculum and Common Core Standards
95% G</t>
    </r>
    <r>
      <rPr>
        <b/>
        <sz val="12"/>
        <rFont val="Arial"/>
        <family val="2"/>
      </rPr>
      <t xml:space="preserve">roup Phonics Advanced kits </t>
    </r>
    <r>
      <rPr>
        <sz val="12"/>
        <rFont val="Arial"/>
        <family val="2"/>
      </rPr>
      <t xml:space="preserve">(12 kits at $140 each) to provide foundation skills, RTI intervention instruction, and to meet the core curriculum and Common Core Standards
</t>
    </r>
    <r>
      <rPr>
        <b/>
        <sz val="12"/>
        <rFont val="Arial"/>
        <family val="2"/>
      </rPr>
      <t>Fosnot Math Kits grades 3-5</t>
    </r>
    <r>
      <rPr>
        <sz val="12"/>
        <rFont val="Arial"/>
        <family val="2"/>
      </rPr>
      <t xml:space="preserve"> ( 17 kits at $175 each) for researched-based math instruction- in the problem solving math and to meet the Common Core Standards
</t>
    </r>
    <r>
      <rPr>
        <b/>
        <sz val="12"/>
        <rFont val="Arial"/>
        <family val="2"/>
      </rPr>
      <t>Fosnot Math Kits grades 4-6</t>
    </r>
    <r>
      <rPr>
        <sz val="12"/>
        <rFont val="Arial"/>
        <family val="2"/>
      </rPr>
      <t xml:space="preserve"> (13 kits at $175 each) for research-based math instruction and for problem-solving math and to meet the Common Core Standards</t>
    </r>
  </si>
  <si>
    <r>
      <t xml:space="preserve">Contracted services to support the problem-solving and math workshop format of </t>
    </r>
    <r>
      <rPr>
        <b/>
        <sz val="12"/>
        <rFont val="Arial"/>
        <family val="2"/>
      </rPr>
      <t>CGI-Math</t>
    </r>
    <r>
      <rPr>
        <sz val="12"/>
        <rFont val="Arial"/>
        <family val="2"/>
      </rPr>
      <t xml:space="preserve">  Expert </t>
    </r>
    <r>
      <rPr>
        <b/>
        <sz val="12"/>
        <rFont val="Arial"/>
        <family val="2"/>
      </rPr>
      <t>Danielle Moore</t>
    </r>
  </si>
  <si>
    <r>
      <rPr>
        <b/>
        <sz val="12"/>
        <rFont val="Arial"/>
        <family val="2"/>
      </rPr>
      <t>Literacy Experts</t>
    </r>
    <r>
      <rPr>
        <sz val="12"/>
        <rFont val="Arial"/>
        <family val="2"/>
      </rPr>
      <t xml:space="preserve"> including but not limited to Growing Educators or Literacy Partners, or 95% group to provide contracted services in literacy needs to meet the core curriculum and the Common Core Standards.</t>
    </r>
  </si>
  <si>
    <t>FY 2016-17
Budget Revision
April 2017</t>
  </si>
  <si>
    <t>FY 2017-18
Budget Revisions
April 2017</t>
  </si>
  <si>
    <t>FY 2018-19
Budget Revisions
April 2017</t>
  </si>
  <si>
    <t>FY 2019-20
Budget Revisions
April 2017</t>
  </si>
  <si>
    <t>FY 2020-21
Budget Revisions
April 2017</t>
  </si>
  <si>
    <t>RS 04          TF 07</t>
  </si>
  <si>
    <r>
      <t xml:space="preserve">Contract Service by </t>
    </r>
    <r>
      <rPr>
        <b/>
        <sz val="12"/>
        <rFont val="Arial"/>
        <family val="2"/>
      </rPr>
      <t xml:space="preserve">South Bay Center for Counseling (SBCC). SBCC will provide a </t>
    </r>
    <r>
      <rPr>
        <sz val="12"/>
        <rFont val="Arial"/>
        <family val="2"/>
      </rPr>
      <t xml:space="preserve"> Friendship Club 3 days per week, 3 staff members for behavior support 5 days per week, and incentives for staff and students.</t>
    </r>
  </si>
  <si>
    <t>Barton Hill will continue to utilize the local organizations: Barton Hill PTO, Baton Hill Alumni, and the Parent Center to provide information about the Restart Model and the new programs being implemented, host meetings in the parent center about the Restart Model, meetings presenting student data, and work with local community organizations like Toberman for parent education classes.  Barton Hill will also continue to collaborate with these organizations and their planned events.  The school nurse will also monitor student health  provide parent education workshops to improve the Barton Hill truancy rate.</t>
  </si>
  <si>
    <t>RS 01
RS 03</t>
  </si>
  <si>
    <t>Summer Professional Development Retreat</t>
  </si>
  <si>
    <t>FY 2016-17
Budget Revision
Actuals</t>
  </si>
  <si>
    <r>
      <rPr>
        <b/>
        <sz val="12"/>
        <rFont val="Arial"/>
        <family val="2"/>
      </rPr>
      <t>FTE 1.0 Instructional Coach</t>
    </r>
    <r>
      <rPr>
        <sz val="12"/>
        <rFont val="Arial"/>
        <family val="2"/>
      </rPr>
      <t xml:space="preserve"> in </t>
    </r>
    <r>
      <rPr>
        <b/>
        <sz val="12"/>
        <rFont val="Arial"/>
        <family val="2"/>
      </rPr>
      <t xml:space="preserve">Math and ELA </t>
    </r>
    <r>
      <rPr>
        <sz val="12"/>
        <rFont val="Arial"/>
        <family val="2"/>
      </rPr>
      <t xml:space="preserve">is needed to provide ongoing professional development in math and ELA.  They will also work with the EMO and  the contracted experts in mathematics and ELA to support instructional shifts and promote the Common Core State Standards.  The coach will use a multi-tiered approach to instruction including the problem solving model and appropriate evidenced-based strategies in mathematics and Balanced Literacy for ELA. Intervention for all students including English learners, standards English Learners, and socioeconomically disadvantaged students, students with disabilities, and gifted students will also be supported by the Instructional Coach. The </t>
    </r>
    <r>
      <rPr>
        <strike/>
        <sz val="12"/>
        <rFont val="Arial"/>
        <family val="2"/>
      </rPr>
      <t>math</t>
    </r>
    <r>
      <rPr>
        <sz val="12"/>
        <rFont val="Arial"/>
        <family val="2"/>
      </rPr>
      <t xml:space="preserve"> instructional coach will also collaborate with an intervention teacher to provide the intervention instruction.</t>
    </r>
  </si>
  <si>
    <r>
      <rPr>
        <b/>
        <strike/>
        <sz val="12"/>
        <rFont val="Arial"/>
        <family val="2"/>
      </rPr>
      <t>Playworks</t>
    </r>
    <r>
      <rPr>
        <sz val="12"/>
        <rFont val="Arial"/>
        <family val="2"/>
      </rPr>
      <t xml:space="preserve"> </t>
    </r>
    <r>
      <rPr>
        <b/>
        <sz val="12"/>
        <rFont val="Arial"/>
        <family val="2"/>
      </rPr>
      <t>Providing Youth Support (PYS)</t>
    </r>
    <r>
      <rPr>
        <sz val="12"/>
        <rFont val="Arial"/>
        <family val="2"/>
      </rPr>
      <t xml:space="preserve"> will be contracted to manage the playground and provide psychomotor.  The program teaches students to play organized games and sports, provides classroom lessons, and teaches standards of behavior and conflict resolution.  It also creates collaboration time for teachers during psychomotor.  </t>
    </r>
  </si>
  <si>
    <t>Extended School Day - Staff will be paid for the additional 30 minutes of instruction time
1 admin (Principal) x 30 mins/day x 180 days x $71/hr = $6,390
2 admins (Asst Principal, SIG School Coord) x 30 mins/day x 180 days x $71/hr = $12,780</t>
  </si>
  <si>
    <r>
      <t>SIG Form 2a</t>
    </r>
    <r>
      <rPr>
        <b/>
        <sz val="12"/>
        <rFont val="Calibri"/>
        <family val="2"/>
      </rPr>
      <t>—</t>
    </r>
    <r>
      <rPr>
        <b/>
        <sz val="12"/>
        <rFont val="Arial"/>
        <family val="2"/>
      </rPr>
      <t>Planning and Other Pre-implementation Activities For a Tier I or Tier II School</t>
    </r>
  </si>
  <si>
    <t>Date: May 26, 2017</t>
  </si>
  <si>
    <t xml:space="preserve">06/2016 - 06/2017
 </t>
  </si>
  <si>
    <t>DATE: May 26, 2017</t>
  </si>
  <si>
    <t xml:space="preserve">Principal, the SIG Committee, and the SIG Coordinator will consult with the EMO on PD topics and Residency schedule. </t>
  </si>
  <si>
    <t xml:space="preserve">Student data will determine the learning needs and the hiring of experts to support student learning and provide professional development for teachers.  Experts will also be hired for intervention/enrichment for supporting the core curriculum and meeting the Common Core Standards. Experts will include but are not limited to; CGI for  math,  STAR for science, social studies and art;, Reading and Writing Workshop with Growing Educators or Literacy Partner's;  and/or 95% Group for Foundational Skills.  Professional Development will be determined by the principal, support staff, and SIG committee.  Experts, including the ELA/Math Instructional Coach,  will provide the professional development and support in the form of demonstration in classrooms, learning labs, and planning students instruction in Implementation years 2, 3, and 4.  For year 5, sustainability year, the contracted experts will only provide planning support to help Barton Hill transition from the SIG funded services that will allow Barton Hill to continue its intervention and student learning successes. </t>
  </si>
  <si>
    <r>
      <t xml:space="preserve">Then programs like the 95% group for foundational skills, Mathematics Systems by Cynthia Fosnots for math, Teachers College Reading and Writing Workshop Units, etc. will be used to meet the students’ learning needs.  The student data will show that a school-wide needs indicate  staffing needs for an intervention support coordinator, instructional math coach, 2 intervention teachers, and </t>
    </r>
    <r>
      <rPr>
        <strike/>
        <sz val="12"/>
        <rFont val="Arial"/>
        <family val="2"/>
      </rPr>
      <t>Playworks</t>
    </r>
    <r>
      <rPr>
        <sz val="12"/>
        <rFont val="Arial"/>
        <family val="2"/>
      </rPr>
      <t xml:space="preserve"> Providing Youth Support (PYS) for playground and school safety.</t>
    </r>
  </si>
  <si>
    <t xml:space="preserve"> (SBCC)    7/1/2017 - 6/30/2018                                                                                                                                        (PYS)11/2016 - 06/2021</t>
  </si>
  <si>
    <r>
      <t xml:space="preserve"> Principal, SIG Coordinator, Administrative team, out of classroom team (coordinators and coach</t>
    </r>
    <r>
      <rPr>
        <strike/>
        <sz val="12"/>
        <rFont val="Arial"/>
        <family val="2"/>
      </rPr>
      <t>es</t>
    </r>
    <r>
      <rPr>
        <sz val="12"/>
        <rFont val="Arial"/>
        <family val="2"/>
      </rPr>
      <t>), and LAUSD</t>
    </r>
  </si>
  <si>
    <t xml:space="preserve">                         (PYS)  07/2017 - 06/2021        </t>
  </si>
  <si>
    <r>
      <t xml:space="preserve"> Principal. Intervention Coordinator, Intervention Coordinator, Instructional Coach</t>
    </r>
    <r>
      <rPr>
        <strike/>
        <sz val="12"/>
        <rFont val="Arial"/>
        <family val="2"/>
      </rPr>
      <t>es</t>
    </r>
    <r>
      <rPr>
        <sz val="12"/>
        <rFont val="Arial"/>
        <family val="2"/>
      </rPr>
      <t>, SIG Committee</t>
    </r>
  </si>
  <si>
    <t xml:space="preserve">The principal, SIG Coordinator, director, and EMO, out of classroom team, and Administrative Team will monitor and review student assessment data and the planning and collaborating sessions during the extended learning day.  Barton Hill will use the DIBELS assessment data results that the LAUSD and the school-site can also monitor online.  Barton Hill will also use the TRC from Reading 3D for reading comprehension and running records that LAUSD and the school-site can monitor online.  Barton Hill will administer the district interim assessments for grade TK-2nd and keep assessments results available for LD South and other members of LAUSD to review. Grade 3rd-6th will continue to take the Smarter Balanced Interim Assessments where the assessment results can be monitored online by LAUSD and the school-site. Evidence of the teacher and faculty planning and collaborations session will be in proof of agendas and sign-in sheets. </t>
  </si>
  <si>
    <t>There will also be planning sessions and lesson study for the Common Core Standards.  These extended planning and collaboration sessions will occur at least once a month.  The SIG money is needed to extend the learning day to address these student learning needs and to also pay the teachers and faculty for the necessary planning and collaboration time to address these student learning needs.  Baton Hill also needs the SIG money to help provide support in addition to the community and LAUSD for the social and behavioral needs of the students.  A balanced literacy program will be revised and  implemented in order to differentiate students in their literacy needs of instruction.  This model will include guided reading, writers workshop, readers workshop, word work in phonics and phonic awareness, shared reading and writing, interactive reading and writing, and vocabulary.  A math workshop and problem-solving program will be revised and implemented that focuses on the LAUSD math practices and the Common Core Standards.  These planning and lesson study meetings will also be supported by the ELA/Math Instructional Coach and the other support-staff members.</t>
  </si>
  <si>
    <r>
      <t xml:space="preserve"> Barton Hill will hire a </t>
    </r>
    <r>
      <rPr>
        <b/>
        <sz val="12"/>
        <rFont val="Arial"/>
        <family val="2"/>
      </rPr>
      <t>SIG School Coordinator</t>
    </r>
    <r>
      <rPr>
        <sz val="12"/>
        <rFont val="Arial"/>
        <family val="2"/>
      </rPr>
      <t xml:space="preserve"> to serve as the data analysis person and to manage all SIG affairs to manage contracts with EMO and experts, facilitate SIG related meetings, collect and keep school-wide student data, order, store, and distribute SIG related materials with SIG Funds and analyze school-wide data.  SIG money  will also allow for Barton Hill to pay for clerical overtime to complete the new instructional needs and materials needs for the newly implemented programs.  The custodial overtime is to make the campus safe and clean for the implementation years. </t>
    </r>
  </si>
  <si>
    <r>
      <t xml:space="preserve"> Principal, SIG Coordinator, Administrative team, out of classroom team ( coordinators and coach</t>
    </r>
    <r>
      <rPr>
        <strike/>
        <sz val="12"/>
        <rFont val="Arial"/>
        <family val="2"/>
      </rPr>
      <t>es</t>
    </r>
    <r>
      <rPr>
        <sz val="12"/>
        <rFont val="Arial"/>
        <family val="2"/>
      </rPr>
      <t>)</t>
    </r>
  </si>
  <si>
    <r>
      <rPr>
        <b/>
        <sz val="12"/>
        <rFont val="Arial"/>
        <family val="2"/>
      </rPr>
      <t xml:space="preserve">Grand Vision </t>
    </r>
    <r>
      <rPr>
        <sz val="12"/>
        <rFont val="Arial"/>
        <family val="2"/>
      </rPr>
      <t>- Contract to provide music instruction to students and PD to teachers in order to support the school's STEAM focus.</t>
    </r>
  </si>
  <si>
    <r>
      <rPr>
        <b/>
        <sz val="12"/>
        <rFont val="Arial"/>
        <family val="2"/>
      </rPr>
      <t xml:space="preserve">FTE 1.0 SIG School Coordinator </t>
    </r>
    <r>
      <rPr>
        <sz val="12"/>
        <rFont val="Arial"/>
        <family val="2"/>
      </rPr>
      <t>is needed to  service as the data analyzer, manage the SIG Grant, to provide support to teachers by providing constructive feedback, reviewing school data, conducting classroom observations, conducting professional development, and supporting the implementation of the Common Core State Standards.  Savings from late hire of SIG Coordinator will be reallocated to 2017-2018 year.</t>
    </r>
  </si>
  <si>
    <r>
      <t xml:space="preserve">SIG Coordinator Laptop </t>
    </r>
    <r>
      <rPr>
        <sz val="12"/>
        <rFont val="Arial"/>
        <family val="2"/>
      </rPr>
      <t>to be purchased to support the duties and functions of the position at a cost of $2,008 including district software bundle fees and warranty</t>
    </r>
  </si>
  <si>
    <t>FY 2017-18
Budget Revisions
Q2 - Oct 2017</t>
  </si>
  <si>
    <t>1. SIG Committee members will research possible EMOs from the bench and research external providers (Danielle Moore for CGI Math, 95 Group for Foundational Skills, Literacy Partners or Growing Educators for Literacy, COPA for Physical Education, Kagan, etc.)
2. The SIG Committee will decide which organizations to interview and pitch their services to the committee.
2. There will be a set of questions (based on the type of organization being interviewed) according to the school implementation goals for support (EMO needs, math, literacy, student behavioral support and classroom management, etc.)
3. The SIG Committee will then select an EMO and experts based on the information gathered from both the research and interview/pitch.
EMO selection completed - March 2017</t>
  </si>
  <si>
    <r>
      <t>Barton Hill elementary will continue to serve grade PreK-6</t>
    </r>
    <r>
      <rPr>
        <vertAlign val="superscript"/>
        <sz val="12"/>
        <rFont val="Arial"/>
        <family val="2"/>
      </rPr>
      <t>th</t>
    </r>
    <r>
      <rPr>
        <sz val="12"/>
        <rFont val="Arial"/>
        <family val="2"/>
      </rPr>
      <t>.  All currently enrolled students and those living in the area will be offered a place in the upcoming schoolyear.  If a family chooses not to attend Barton Hill, they may ask LAUSD for an opt-out plan for a place at another LAUSD school.
Completed</t>
    </r>
  </si>
  <si>
    <t>The accountability contract between LAUSD and the EMO will hold the EMO accountable to the LAUSD Board of Education to meet the defined five goal areas of the LAUSD Performance Meter.  Annually, the EMO will submit a report on the performance of the school to the LAUSD board and superintendent.  If the school is not meeting the annual targets, the EMO and LAUSD will work together to alter strategies as necessary.  If the school does not substantially achieve the performance metrics in three years, the district and school can terminate the relationship with the EMO.
Completed - March 2017</t>
  </si>
  <si>
    <r>
      <rPr>
        <sz val="12"/>
        <rFont val="Arial"/>
        <family val="2"/>
      </rPr>
      <t xml:space="preserve">Contracted Services by </t>
    </r>
    <r>
      <rPr>
        <b/>
        <sz val="12"/>
        <rFont val="Arial"/>
        <family val="2"/>
      </rPr>
      <t xml:space="preserve">Creating Opportunities for Physical Activity (COPA) </t>
    </r>
    <r>
      <rPr>
        <sz val="12"/>
        <rFont val="Arial"/>
        <family val="2"/>
      </rPr>
      <t xml:space="preserve">physical education expert to train and provide health and physical education activities to supplement health and physical education instruction in the classroom.
Years 1-2: School will not work with COPA.  Funds reallocated to South Bay Center for Counseling contract. </t>
    </r>
  </si>
  <si>
    <t>Summer School 2018 Benefits</t>
  </si>
  <si>
    <r>
      <rPr>
        <b/>
        <sz val="12"/>
        <rFont val="Arial"/>
        <family val="2"/>
      </rPr>
      <t xml:space="preserve">ST Math </t>
    </r>
    <r>
      <rPr>
        <sz val="12"/>
        <rFont val="Arial"/>
        <family val="2"/>
      </rPr>
      <t xml:space="preserve">software contract will be </t>
    </r>
    <r>
      <rPr>
        <strike/>
        <sz val="12"/>
        <rFont val="Arial"/>
        <family val="2"/>
      </rPr>
      <t>purchased</t>
    </r>
    <r>
      <rPr>
        <sz val="12"/>
        <rFont val="Arial"/>
        <family val="2"/>
      </rPr>
      <t xml:space="preserve"> renewed to provide individualized math intervention through technology to meet the new demands of the Common Core Standards
</t>
    </r>
    <r>
      <rPr>
        <i/>
        <sz val="12"/>
        <rFont val="Arial"/>
        <family val="2"/>
      </rPr>
      <t>(moved from 4000 object code series)</t>
    </r>
  </si>
  <si>
    <t>FY 2017-18
Budget Revisions
Q2 - Dec 2017</t>
  </si>
  <si>
    <t>FY 2018-19
Budget Revisions
Dec 2017</t>
  </si>
  <si>
    <t>FY 2019-20
Budget Revisions
Dec 2017</t>
  </si>
  <si>
    <r>
      <rPr>
        <b/>
        <sz val="12"/>
        <rFont val="Arial"/>
        <family val="2"/>
      </rPr>
      <t>FTE 1.0 Teacher Assistant</t>
    </r>
    <r>
      <rPr>
        <sz val="12"/>
        <rFont val="Arial"/>
        <family val="2"/>
      </rPr>
      <t xml:space="preserve"> to support targeted intervention program.  The TA will be trained to work alongside the classroom teacher to deliever small group and individualized instruction based on student need. 
Year 2: January - June 2018</t>
    </r>
  </si>
  <si>
    <r>
      <rPr>
        <b/>
        <sz val="12"/>
        <rFont val="Arial"/>
        <family val="2"/>
      </rPr>
      <t>Class sets of consumable workbooks</t>
    </r>
    <r>
      <rPr>
        <sz val="12"/>
        <rFont val="Arial"/>
        <family val="2"/>
      </rPr>
      <t xml:space="preserve"> to support reinforcement and review of State Standards for problem solving and assessment activities.</t>
    </r>
  </si>
  <si>
    <t>RS 04        TF07</t>
  </si>
  <si>
    <t>Teacher Assistant Benefits</t>
  </si>
  <si>
    <r>
      <t xml:space="preserve">FTE 0.40 (2 days) Psychiatric Social Worker </t>
    </r>
    <r>
      <rPr>
        <sz val="12"/>
        <rFont val="Arial"/>
        <family val="2"/>
      </rPr>
      <t>is needed to provide mental health services to students in need of emotional support in order to increase their ability to focus on their studies and increase their achievement.</t>
    </r>
  </si>
  <si>
    <r>
      <rPr>
        <b/>
        <sz val="12"/>
        <rFont val="Arial"/>
        <family val="2"/>
      </rPr>
      <t xml:space="preserve">Balanced Literacy, Work , and Intervention Instructional Materials </t>
    </r>
    <r>
      <rPr>
        <sz val="12"/>
        <rFont val="Arial"/>
        <family val="2"/>
      </rPr>
      <t xml:space="preserve">-  These  materials will support our move to a balanced literacy approach.  The materials are needed for shared reading, read aloud time, and mentor texts for both reading and writing workshops. These materials will also support the word work portion of the balanced literacy in phonics and phonemic awareness This will also include student materials and games to support the researched-based work  program in </t>
    </r>
    <r>
      <rPr>
        <i/>
        <sz val="12"/>
        <rFont val="Arial"/>
        <family val="2"/>
      </rPr>
      <t>Words Their Way</t>
    </r>
    <r>
      <rPr>
        <sz val="12"/>
        <rFont val="Arial"/>
        <family val="2"/>
      </rPr>
      <t>. Additional instructional materials are to support the intervention programs like the Fountas and Pinnell Intervention Systems for RTI Intervention during the  school day and Saturday School.</t>
    </r>
  </si>
  <si>
    <r>
      <rPr>
        <b/>
        <sz val="12"/>
        <rFont val="Arial"/>
        <family val="2"/>
      </rPr>
      <t xml:space="preserve">Leveled Readers </t>
    </r>
    <r>
      <rPr>
        <sz val="12"/>
        <rFont val="Arial"/>
        <family val="2"/>
      </rPr>
      <t>for classroom libraries from Teachers College (30 collections at $4,000 each collection) to support the readers workshop and balanced literacy program and to meet the Common Core Standards and to support the students learning at both the instructional and independent reading levels.</t>
    </r>
  </si>
  <si>
    <t>Psychiatric Social Worker Benefits</t>
  </si>
  <si>
    <r>
      <rPr>
        <b/>
        <sz val="12"/>
        <rFont val="Arial"/>
        <family val="2"/>
      </rPr>
      <t xml:space="preserve">FTE 2.0 Intervention Teachers </t>
    </r>
    <r>
      <rPr>
        <sz val="12"/>
        <rFont val="Arial"/>
        <family val="2"/>
      </rPr>
      <t>to work with the EMO, Intervention Support Coordinator, Instructional Specialist, and Instructional Coach to implement new researched-based instructional programs.  Intervention teachers will also provide targeted, data-driven RTI intervention to students that supports the core program wile providing targeted assistance to students.
(plus 8 days of sub time)</t>
    </r>
  </si>
  <si>
    <r>
      <rPr>
        <b/>
        <sz val="12"/>
        <rFont val="Arial"/>
        <family val="2"/>
      </rPr>
      <t>Contracted service to provide visual arts instruction to students</t>
    </r>
    <r>
      <rPr>
        <sz val="12"/>
        <rFont val="Arial"/>
        <family val="2"/>
      </rPr>
      <t xml:space="preserve"> during and after the school day while supporting the school's STEAM focus.
(Angel's Gate)</t>
    </r>
  </si>
  <si>
    <r>
      <rPr>
        <b/>
        <sz val="12"/>
        <rFont val="Arial"/>
        <family val="2"/>
      </rPr>
      <t xml:space="preserve">Contracted service to provide performing arts instruction to students </t>
    </r>
    <r>
      <rPr>
        <sz val="12"/>
        <rFont val="Arial"/>
        <family val="2"/>
      </rPr>
      <t>during and after the school day while supporting the school's STEAM focus.
(Boys and Girls Club)</t>
    </r>
  </si>
  <si>
    <t>FY 2017-18
Budget Revisions
Q3 - Mar 2018</t>
  </si>
  <si>
    <t>FY 2018-19
Budget Revisions
Mar 2018</t>
  </si>
  <si>
    <r>
      <rPr>
        <b/>
        <sz val="12"/>
        <rFont val="Arial"/>
        <family val="2"/>
      </rPr>
      <t>10 Sub Days</t>
    </r>
    <r>
      <rPr>
        <sz val="12"/>
        <rFont val="Arial"/>
        <family val="2"/>
      </rPr>
      <t xml:space="preserve"> for teacher release time to attend Data Reflection Sessions with the EMO in Yr 2.  Sessions focus on analysis of student data.
10 subs x $209/ea = $2,090</t>
    </r>
  </si>
  <si>
    <t xml:space="preserve"> Barton Hill will hold community meetings will to review school performance, discuss school intervention model to be implemented, and develop school improvement plans in line with the Restart Model. 
• The meeting in November will discuss what SIG is, information about the Restart Model and what the school plan is under this model, the student data (SBACC, DIBELS, etc.), and have a question/answer session
• The meetings in February and April will discuss updated improvement plans by the SIG Committee for the school under the Restart Model, review current student data (DIBELS and IAB’s, and District Interim Assessments in ELA and Math) and answer questions.
• The June meeting will be a session to discuss the school plan for the next few years under the Restart Model. This will be a meeting where the year-long planning by the SIG Committee will be presented including the contracted EMO, contracted experts, new hired positions, curriculum and instructional materials purchases, etc.  This will also be the meeting to explain the services to be provided and calendar for the 2017/2018 year.
In progress</t>
  </si>
  <si>
    <t>Barton Hill will communicate with parents/guardians and the community about school status (student data and implementation plans), improvement plans, and local service providers for health, nutrition, or social services through press releases, monthly newsletters, school flyers for parent meetings, on the PTO webpage, connect eds, parent outreach coordinators, parent center reps , PTO and Barton Hill Alumni), and direct mail.  These organizations can help us:
• The Barton Hill PTO is an organization that can help the school with parent and community outreach and engagement and communication.  They sponsor monthly family events, fieldtrips, sports teams, a drill team, and student awards.  The Barton Hill parent Center works in collaboration with the Barton Hill PTO.  The Barton Hill PTO has a webpage that we can make announcements on for parents and the community.  The PTO has community business sponsor that donate to Barton Hill and help sponsor all of the activities of the PTO.
• The Barton Hill Alumni can also help the school with active parent/community engagement and communication.  This organization has a webpage that they communicate news to the community.  The Alumni has local community business sponsorship for all of their events and activities.
In progress</t>
  </si>
  <si>
    <t xml:space="preserve">• The Barton Hill Parent Center will help with parent engagement and communication. This center conducts monthly meetings that a SIG Committee Member can attend to provide information regarding the Restart Implementation Plan. This center also hosts classes that local ci-community organizations provide for Barton Hill parents education.
• Toberman Center is a local organization that can provide Barton Hill parents with behavioral resources and parent education.  
• The Partners for Healthy Kids Mobile Medical Van provides on the Barton Hill campus once a week medical care, immunizations, and health counseling.
• The Barton Hill SIG Committee will continue to seek out and find more local organizations and community members to provide more support for cores services, behavioral and social services.
• Medical Van from the local community provides medical services (vaccinations, flu shots, medical exams, etc.) for Barton Hill families. 
• The local organization South Bay Centre for Counseling and provides social and behavioral services for Barton Hill student by facilitating and managing a Friendship Club, child aides, and The Primary Intervention Program.
• PSA for kindergarten 3 days a week paid by district funds
• PSA for 1-6th grade 2 days a week
• Healthy Start Coordinator - 5 days a week for indirect services for families (food, uniforms, counseling, insurance needs, etc.)
• Mental and Behavioral Health Services - MASADA and the Guidance Center in the local community
• PSA Foster Youth Counselor
• Beyond the Bell and Ready-Set-Go (before and after school) enrichment and academic program before and after school on the Barton Hill Campus 
• Boys and Girls Club Programs - enrichment activities like art and homework assistance
In progess
</t>
  </si>
  <si>
    <t xml:space="preserve"> Barton Hill will hold an open house and orientations to introduce all new and current students and parents to Barton Hill’s Restart Model.  As presented at the other parent meetings, the Committee would present the Restart Model and the implementation plan with goals related to student data, and a tour of Barton Hill and the Services provided.
Completed</t>
  </si>
  <si>
    <t>10/2016 - 01/2017 recruiting, review process to select an EMO and external providers
02/2017 - 06/2017 create a contract and plan with EMO and external providers
The SIG Committee will conduct the rigorous review process to select an EMO and contract with that entity (this contract including ongoing intensive technical assistance and related support form a designated external Lead Partner organization), or properly recruit, screen, and select any external providers that may be necessary to assist in planning for the implementation of an intervention model. 
Completed</t>
  </si>
  <si>
    <t>The SIG Committee is made up of: an Administrative rep., a Classified rep, an out-of-classroom rep, a SIG Coordinator, a parent rep, grades 5 and 6 rep, grades 3 and 4 rep., grades 1 and 2 rep., Prek/K rep, and a UTLA rep.   The recruitment process will look as follows for the EMO and external providers:
1. SIG Committee members will research possible EMOs from the bench and research external providers (CGI Math, 95 Group for Foundational Skills, Literacy Partners or Growing Educators for Literacy, COPA for Physical Education, Kagen, etc.)
2. The SIG Committee will decide which organizations to interview and pitch their services to the committee.
2. There will be a set of questions (based on the type of organization being interviewed) according to the school implementation goals for support (EMO needs, math, literacy, student behavioral support and classroom management, etc.)
3. The SIG Committee will then select an EMO and experts based on the information gathered from both the research and interview/pitch.
Completed</t>
  </si>
  <si>
    <t>10/2016 - 03/2017 - SIG Committee planning using student data goals and job duties for the new positions to be hired
03/2017 - 05/2017 - SIG Committee Interview and hiring new staff members
Barton Hill will recruit and hire:
• Two Intervention Teachers - to be distribute (based on student data needs) to the Intrvention Coordinator and the Math Coach in  instructing enrichment classes in art, physical education, social studies, health and science.
• An Intervention Coordinator - for primary literacy intervention
• A Mathematics Coach - to support teachers in math instruction and intervention
• One School Improvement Grant Coordinator  and data analyzer to manage all SIG affairs - completed
In progress</t>
  </si>
  <si>
    <t>The SIG Committee will provide remediation and enrichment to students through programs with evidence of raising achievement by identifying and purchasing instructional materials that are researched and aligned with State academic standards and have data-based evidence of raising student achievement.
Student data shows intervention needs in all academic areas. In all grade Barton Hill students need foundational and decoding skills intervention.  Students also need research/analysis and comprehension skills and intervention.  The student data shows that students need intervention in all claims in the Smarter Balanced mathematics and Literacy areas.  This same data also shows a need for researched-based mathematics and literacy programs to improve the Common Core Standards instruction. 
10/2016 - 03/2017 - SIG Committee will find researched-based programs based for student learning and intervention needs based on student data
01/2017 - 06/2017 - SIG Committee will approve researched-based instructional materials for the implementation years like: Fosnots Contexts for Learning Mathematics  Reading and Writing Units of study for grades k-6, libraries  to support these workshops (mentor texts, guided reading libraries, and student shopping libraries), 95 Group phonics and phonological kits with assessments, Words Their Way materials and support materials for phonics, Fountas and Pinnell Intervention Systems, TRC kits for teachers to assess running records in Reading 3d, CORE assessment books and classroom activity guide to support the data from this assessment, Fountas and Pinnell assessment kits.  The SIG Committee will also research and find additional resources for instruction during the planning year.
In progress</t>
  </si>
  <si>
    <t>• 10/2016 - student data review (current DIBELS and Smarter Balanced data from 2015-2016) and grade levels presenting assessments used in the classrooms, the faculty will decide schoolwide which assessments to use with the guidance of the school Instructional Learning Team.  The primary grades will use instructional maps for literacy and mathematics from the district or create their own, while the upper grades will study the Common Core Standards that are aligned with the upcoming Interim Assessment Blocks in Literacy and mathematics.
• 11/2016 - During this month current student data will be reviews and the teachers will study the Common Core Standards for the core academic areas in primary grades and in upper grades the teachers will studying the standards that align for the upcoming Interim Assessment Blocks in mathematics and Literacy.
• The other months will be a continuous review of the Common Core Standards  and lesson studies in ELA and math based on the instructional maps for literacy and mathematics and the pacing plans for the district assessments.  Every month a review of the most current student data will be reviewed.
In progress</t>
  </si>
  <si>
    <t>Barton Hill will also compensate  teachers, administration and coordinators for instructional planning by examining student data (DIBELS, Interim Smarter Balanced Assessments, District Interim Assessments, School), developing a curriculum that is aligned to state standards  and aligned vertically from one grade level to another by reviewing and studying the Common Core Standards with teachers, collaborating within and across disciplines and devising and training on  administering and scoring assessments (like using running records and comprehension assessments, using diagnostic math assessments, and for foundational skills and literacy diagnostics  C.O.R.E and or Fountas and Pinnell Diagnostic Assessment kits schoolwide).  This planning time can occur during the weekly grade - level meetings twice a  month, monthly during banked day, and also afterschool once a month for 90 minutes. Compensation will occur only when the teachers and out of classroom faculty stay beyond the contracted time.
Twice a month the SIG Committee will meet on Monday afterschool to plan the banked day, grade-level meeting and additional teacher training by reviewing student data, reviewing assessment pacing plans, reviewing the Common Core Standards, monitoring the assessment activity schoolwide, and planning the vertical alignment of the standards schoolwide.
In progress</t>
  </si>
  <si>
    <t xml:space="preserve">Barton Hill will train staffs on the implementation of new and revised instructional programs and policies that are aligned with the Barton Hill’s comprehensive instructional plan and the Restart model. 
This training will occur every other month for one banked day meeting session.  If additional time is needed for training (during the months where no training is conducted during the banked day) the teachers, then they will be compensated for any training time outside of the contracted time.  This training will be progressive and ongoing based on the planning that the SIG Committee makes each month of the school year.  The SIG Committee bi-monthly on Monday afterschool to plan teacher trainings of each month for implementing new instructional programs and policies for the Restart Model in the upcoming years.
• 10/2016  • 11/2016  • 12/2016   • 01/2017  • 02/2017  • 03/2017  • 04/2017  • 05/2017  • 06/2017
In progress
</t>
  </si>
  <si>
    <t xml:space="preserve"> Barton Hill will develop schoolwide assessments by revising and purchasing assessment diagnostic resources to determine ELA and math student needs to be used in addition to the district assessment to monitor student learning and analyze this data for intervention and enrichment needs.
In progress</t>
  </si>
  <si>
    <t>Sub Days Benefits</t>
  </si>
  <si>
    <r>
      <rPr>
        <b/>
        <sz val="12"/>
        <rFont val="Arial"/>
        <family val="2"/>
      </rPr>
      <t xml:space="preserve">Clerical overtime </t>
    </r>
    <r>
      <rPr>
        <sz val="12"/>
        <rFont val="Arial"/>
        <family val="2"/>
      </rPr>
      <t>to support Summer School, planning days, intervention days, extended day, and Saturday School</t>
    </r>
  </si>
  <si>
    <r>
      <rPr>
        <b/>
        <sz val="12"/>
        <rFont val="Arial"/>
        <family val="2"/>
      </rPr>
      <t>Custodial Overtime</t>
    </r>
    <r>
      <rPr>
        <sz val="12"/>
        <rFont val="Arial"/>
        <family val="2"/>
      </rPr>
      <t xml:space="preserve"> to support Summer School, planning days, intervention days, extended day, and Saturday School</t>
    </r>
  </si>
  <si>
    <r>
      <rPr>
        <b/>
        <sz val="12"/>
        <rFont val="Arial"/>
        <family val="2"/>
      </rPr>
      <t>Technology</t>
    </r>
    <r>
      <rPr>
        <sz val="12"/>
        <rFont val="Arial"/>
        <family val="2"/>
      </rPr>
      <t xml:space="preserve"> will be purchased to support the delivery of standards-based lessons and professional development.
</t>
    </r>
    <r>
      <rPr>
        <strike/>
        <sz val="12"/>
        <rFont val="Arial"/>
        <family val="2"/>
      </rPr>
      <t>29</t>
    </r>
    <r>
      <rPr>
        <sz val="12"/>
        <rFont val="Arial"/>
        <family val="2"/>
      </rPr>
      <t xml:space="preserve"> 30 smart TVs w/ wall mounts x </t>
    </r>
    <r>
      <rPr>
        <strike/>
        <sz val="12"/>
        <rFont val="Arial"/>
        <family val="2"/>
      </rPr>
      <t>$576</t>
    </r>
    <r>
      <rPr>
        <sz val="12"/>
        <rFont val="Arial"/>
        <family val="2"/>
      </rPr>
      <t xml:space="preserve"> ~$597.50 ea = </t>
    </r>
    <r>
      <rPr>
        <strike/>
        <sz val="12"/>
        <rFont val="Arial"/>
        <family val="2"/>
      </rPr>
      <t>$16,704</t>
    </r>
    <r>
      <rPr>
        <sz val="12"/>
        <rFont val="Arial"/>
        <family val="2"/>
      </rPr>
      <t xml:space="preserve"> $17,925
20 document cameras x $750 = $15,000</t>
    </r>
  </si>
  <si>
    <t>FY 2017-18
Budget Revisions
Q4 - Jul 2018</t>
  </si>
  <si>
    <t>FY 2018-19
Budget Revisions
Q1 - Aug 2018</t>
  </si>
  <si>
    <t>year 3 award</t>
  </si>
  <si>
    <t>supplemental award</t>
  </si>
  <si>
    <t>FY 2019-20
Budget Revisions
Aug 2018</t>
  </si>
  <si>
    <t>FY 2020-21
Budget Revisions
Aug 2018</t>
  </si>
  <si>
    <t>RS 04</t>
  </si>
  <si>
    <t>Anticipated negotiated salary increase adjustment</t>
  </si>
  <si>
    <t>Anticipated negotiated salary increase retro pay adjustment</t>
  </si>
  <si>
    <t>Anticipated negotiated salary increase retro pay adjustment benefits</t>
  </si>
  <si>
    <r>
      <rPr>
        <b/>
        <sz val="12"/>
        <rFont val="Arial"/>
        <family val="2"/>
      </rPr>
      <t>Computer Lab</t>
    </r>
    <r>
      <rPr>
        <sz val="12"/>
        <rFont val="Arial"/>
        <family val="2"/>
      </rPr>
      <t xml:space="preserve"> - Lab with </t>
    </r>
    <r>
      <rPr>
        <strike/>
        <sz val="12"/>
        <rFont val="Arial"/>
        <family val="2"/>
      </rPr>
      <t>32</t>
    </r>
    <r>
      <rPr>
        <sz val="12"/>
        <rFont val="Arial"/>
        <family val="2"/>
      </rPr>
      <t xml:space="preserve"> 35 Apple laptops with appropriate software preinstalled will be added to assist students in meeting the technology demands of the Common Core State Standards and to assist in leading teachers in analysis of student data and in Common Core planning sessions. also to purchase software to support newly or revised instructional programs.
35 MacBook Air x $1,392.85 = $48,749.74
1 laptop cart x $1,942.41 = $1,942.41
</t>
    </r>
    <r>
      <rPr>
        <b/>
        <sz val="12"/>
        <rFont val="Arial"/>
        <family val="2"/>
      </rPr>
      <t xml:space="preserve">Additional Technology </t>
    </r>
    <r>
      <rPr>
        <sz val="12"/>
        <rFont val="Arial"/>
        <family val="2"/>
      </rPr>
      <t xml:space="preserve">purchased for checkout from existing SIG funded computer lab.  Additional laptops and an iPad cart with 30 ipads to be purchased for existing computer lab.  They will be available for classroom checkout for student and teacher instructional use.
1 iPad cart x $1,955.80 = $1,955.80
</t>
    </r>
    <r>
      <rPr>
        <strike/>
        <sz val="12"/>
        <rFont val="Arial"/>
        <family val="2"/>
      </rPr>
      <t>31</t>
    </r>
    <r>
      <rPr>
        <sz val="12"/>
        <rFont val="Arial"/>
        <family val="2"/>
      </rPr>
      <t xml:space="preserve"> 30 laptop computers including software x </t>
    </r>
    <r>
      <rPr>
        <strike/>
        <sz val="12"/>
        <rFont val="Arial"/>
        <family val="2"/>
      </rPr>
      <t>$1456.66</t>
    </r>
    <r>
      <rPr>
        <sz val="12"/>
        <rFont val="Arial"/>
        <family val="2"/>
      </rPr>
      <t xml:space="preserve"> $1,335.78 unit cost including tax, ewaste, bundling, and additional District charge = </t>
    </r>
    <r>
      <rPr>
        <strike/>
        <sz val="12"/>
        <rFont val="Arial"/>
        <family val="2"/>
      </rPr>
      <t>$45,156.46</t>
    </r>
    <r>
      <rPr>
        <sz val="12"/>
        <rFont val="Arial"/>
        <family val="2"/>
      </rPr>
      <t xml:space="preserve"> $40,073.49
</t>
    </r>
  </si>
  <si>
    <r>
      <t xml:space="preserve">Additional Technology purchased for checkout from existing SIG funded computer lab.  Additional laptops and an iPad cart with 30 ipads to be purchased for existing computer lab.  They will be available for classroom checkout for student and teacher instructional use.
</t>
    </r>
    <r>
      <rPr>
        <strike/>
        <sz val="12"/>
        <rFont val="Arial"/>
        <family val="2"/>
      </rPr>
      <t>iPad Cart with</t>
    </r>
    <r>
      <rPr>
        <sz val="12"/>
        <rFont val="Arial"/>
        <family val="2"/>
      </rPr>
      <t xml:space="preserve"> 30 iPads x </t>
    </r>
    <r>
      <rPr>
        <strike/>
        <sz val="12"/>
        <rFont val="Arial"/>
        <family val="2"/>
      </rPr>
      <t>$394.53</t>
    </r>
    <r>
      <rPr>
        <sz val="12"/>
        <rFont val="Arial"/>
        <family val="2"/>
      </rPr>
      <t xml:space="preserve"> $357.12 each unit cost including tax, ewaste, bundling, and additional District charges = </t>
    </r>
    <r>
      <rPr>
        <strike/>
        <sz val="12"/>
        <rFont val="Arial"/>
        <family val="2"/>
      </rPr>
      <t>$12,909</t>
    </r>
    <r>
      <rPr>
        <sz val="12"/>
        <rFont val="Arial"/>
        <family val="2"/>
      </rPr>
      <t xml:space="preserve"> $10,713.56 (moved from 4400)
30 iPad cases x $38.27 = $1,148.11
4 iPads x $326.41 = $1,305.62 (moved from 4400)
4 iPad cases x $49.28 = $197.10
</t>
    </r>
    <r>
      <rPr>
        <u/>
        <sz val="12"/>
        <color rgb="FFFF0000"/>
        <rFont val="Arial"/>
        <family val="2"/>
      </rPr>
      <t/>
    </r>
  </si>
  <si>
    <t>year 4 award</t>
  </si>
  <si>
    <t>year 5 award</t>
  </si>
  <si>
    <r>
      <t xml:space="preserve">Individual and/ or dual coaching demonstration lessons, accountability walk-throughs, and other topics that may arise through a comprehensive needs assessment.  During the year 5, the sustainability year, the EMO will continue its residency with less time spent at Barton Hill.  Continued PD will support the sustainability year.  PD support will be differentiated according to teacher capacity and formulated according to school-wide data. Teachers will attend a </t>
    </r>
    <r>
      <rPr>
        <strike/>
        <sz val="12"/>
        <rFont val="Arial"/>
        <family val="2"/>
      </rPr>
      <t xml:space="preserve">Three </t>
    </r>
    <r>
      <rPr>
        <sz val="12"/>
        <rFont val="Arial"/>
        <family val="2"/>
      </rPr>
      <t>Five Day Summer Retreat to review previous year’s data, outline goals for upcoming school year and collaborate with in grade level teams.  There will also be professional development during the school week after school hours for teachers. This will include two 4-hour math PDs in Yr 2 to support teachers building their math pedagogy.  Instructional materials will be purchased for teachers to organize and store their new instructional programs and training materials.</t>
    </r>
  </si>
  <si>
    <t>Barton Hill will use the cycle of instruction to screen and identify student learning needs in order to select and/or revise new instructional programs to implement.  Teachers will administer a math diagnostic in the classroom to screen for students’ mathematics needs.  Once the screen is assessed, then teachers and out of classroom staff will administer a diagnostic assessment to find specific learning needs like phonological awareness, syllabication, comprehension, number sense, etc.  Standards-based consumable math and ELA workbooks will also be purchased in Yr 2 to support students' identified instructional needs.</t>
  </si>
  <si>
    <r>
      <t>Intervention teachers will provide targeted, data driven RTi intervention to students via a push-in / pull-out method, to support the core program while providing targeted assistance.  However, in an effort to sustain this intervention after SIG, teachers will be able to provide targeted assistance and intervention throughout the day, all day with consultation support from the ELA/Math Instructional coach</t>
    </r>
    <r>
      <rPr>
        <strike/>
        <sz val="12"/>
        <rFont val="Arial"/>
        <family val="2"/>
      </rPr>
      <t>es</t>
    </r>
    <r>
      <rPr>
        <sz val="12"/>
        <rFont val="Arial"/>
        <family val="2"/>
      </rPr>
      <t xml:space="preserve">.  In Yr 2, a 6-hour Teaching Assistant will be purchased to support the established intervention program.  The TA will be trained on providing small group instruction in conjunction with the intervention staff.  Also in Yr 2, SIG funds will be used to support analysis of student data by funding substitute coverage for teachers to attend Data Reflection Sessions with the EMO.  </t>
    </r>
  </si>
  <si>
    <r>
      <t xml:space="preserve">Student data will show the need for technology for students to learn on and practice using technology like computers, netbooks, IPad to support the implementation of the Common Core Standards.  A computer lab along with math software for students will be purchased with SIG funds to support school curriculum and the Common Core Standards.  Additional laptops and an iPad cart will be added to the SIG funded computer lab for check out by classes and teachers to support student learning in Year 2.  A laptop for use by the SIG Coordinator will also be purchased to support the duties of the position.  In addition, 2 Chromebook Carts will be purchased in Year 2 to support student access to both SIG and non-SIG purchased web-based platforms designed to increase student achievement.  </t>
    </r>
    <r>
      <rPr>
        <b/>
        <sz val="12"/>
        <rFont val="Arial"/>
        <family val="2"/>
      </rPr>
      <t>New</t>
    </r>
    <r>
      <rPr>
        <sz val="12"/>
        <rFont val="Arial"/>
        <family val="2"/>
      </rPr>
      <t xml:space="preserve"> </t>
    </r>
    <r>
      <rPr>
        <b/>
        <sz val="12"/>
        <rFont val="Arial"/>
        <family val="2"/>
      </rPr>
      <t>Technology</t>
    </r>
    <r>
      <rPr>
        <sz val="12"/>
        <rFont val="Arial"/>
        <family val="2"/>
      </rPr>
      <t xml:space="preserve"> will also be purchased to assist teachers in delivering engaging, standards-based instruction.  Classrooms will receive mounted Smart TVs, speakers, and document cameras yearly until all classrooms are updated.  An LCD projector will also be purchased to assist in delivery of professional development for teachers. In Yr 2, dongle adapters to allow mac laptops to be used to project student work and classroom instruction will be purchased.  In Yr 3, student headphones and splitters will be purchased to support listening centers for student use during small group instruction.  Beginning Year 2, Barton Hill will contract with two arts education companies, one for  performing arts and one for visual arts, and with </t>
    </r>
    <r>
      <rPr>
        <b/>
        <sz val="12"/>
        <rFont val="Arial"/>
        <family val="2"/>
      </rPr>
      <t xml:space="preserve">Grand Vision </t>
    </r>
    <r>
      <rPr>
        <sz val="12"/>
        <rFont val="Arial"/>
        <family val="2"/>
      </rPr>
      <t>for music,</t>
    </r>
    <r>
      <rPr>
        <b/>
        <sz val="12"/>
        <rFont val="Arial"/>
        <family val="2"/>
      </rPr>
      <t xml:space="preserve"> </t>
    </r>
    <r>
      <rPr>
        <sz val="12"/>
        <rFont val="Arial"/>
        <family val="2"/>
      </rPr>
      <t xml:space="preserve">to provide students with arts education both during and after school.  They will provide visual and performing arts, as well as music intruction.  This focus on the arts will support the school's STEAM focus and support student engagement in school by offering enriching programs. </t>
    </r>
  </si>
  <si>
    <t>In order to promote health and well being in Barton Hill students which can reduce student absences, services with a physical education company like C.O.P.A.  In year 2, the school will contract with the South Bay Center for Counseling.  In Yr 2, a  Psychiatric Social Worker will also be added for 2 days a week to support the socio-emotional well being of Barton Hill students.  Helping students with behavior support, social skills, and small group or individual counseling will help them to deal with the emotional issues blocking them from focusing on their studies.</t>
  </si>
  <si>
    <t xml:space="preserve">The 3 (year 2 will be for 5 days) day Summer Retreat for professional development and planning for the next academic year and Saturday school for students will be provided. Beginning Year 2, the school will also provide a three week summer session serving grades K-5. Once again, SIG money is needed to compensate the teachers for this additional instructional, professional development and planning time.  There will be an hour weekly for collaboration time for teachers.  There will also be planning time and professional development with the EMO and experts.  SIG money is needed to compensate teachers for this extra time beyond the contracted time.  There will be monthly planning meetings with the grade level chairs with administration. </t>
  </si>
  <si>
    <r>
      <t xml:space="preserve">The company will provide the school with mental health services including a Friendship Club, one-on-one counseling,and support for the School-Wide Positive Intervention and Behavior Support plan.  </t>
    </r>
    <r>
      <rPr>
        <strike/>
        <sz val="12"/>
        <rFont val="Arial"/>
        <family val="2"/>
      </rPr>
      <t>will be contracted to supplement and provide enrichment for all students</t>
    </r>
    <r>
      <rPr>
        <sz val="12"/>
        <rFont val="Arial"/>
        <family val="2"/>
      </rPr>
      <t xml:space="preserve">. Also </t>
    </r>
    <r>
      <rPr>
        <strike/>
        <sz val="12"/>
        <rFont val="Arial"/>
        <family val="2"/>
      </rPr>
      <t>Playworks</t>
    </r>
    <r>
      <rPr>
        <sz val="12"/>
        <rFont val="Arial"/>
        <family val="2"/>
      </rPr>
      <t xml:space="preserve"> PYS will be contracted for playground supervision and student safety.  </t>
    </r>
    <r>
      <rPr>
        <strike/>
        <sz val="12"/>
        <rFont val="Arial"/>
        <family val="2"/>
      </rPr>
      <t>STAR</t>
    </r>
    <r>
      <rPr>
        <sz val="12"/>
        <rFont val="Arial"/>
        <family val="2"/>
      </rPr>
      <t xml:space="preserve">  </t>
    </r>
    <r>
      <rPr>
        <sz val="12"/>
        <color rgb="FFFF0000"/>
        <rFont val="Arial"/>
        <family val="2"/>
      </rPr>
      <t xml:space="preserve">Discovery </t>
    </r>
    <r>
      <rPr>
        <sz val="12"/>
        <rFont val="Arial"/>
        <family val="2"/>
      </rPr>
      <t xml:space="preserve">Education will contracted to provide enrichment and core classes in Science, Art, and Social Studies.  With </t>
    </r>
    <r>
      <rPr>
        <strike/>
        <sz val="12"/>
        <rFont val="Arial"/>
        <family val="2"/>
      </rPr>
      <t>Playworks</t>
    </r>
    <r>
      <rPr>
        <sz val="12"/>
        <rFont val="Arial"/>
        <family val="2"/>
      </rPr>
      <t xml:space="preserve"> PYS and </t>
    </r>
    <r>
      <rPr>
        <strike/>
        <sz val="12"/>
        <rFont val="Arial"/>
        <family val="2"/>
      </rPr>
      <t>STAR Education</t>
    </r>
    <r>
      <rPr>
        <sz val="12"/>
        <rFont val="Arial"/>
        <family val="2"/>
      </rPr>
      <t xml:space="preserve"> will be funded for all years of the SIG grant, with the exception of the planning year.  </t>
    </r>
    <r>
      <rPr>
        <sz val="12"/>
        <color rgb="FFFF0000"/>
        <rFont val="Arial"/>
        <family val="2"/>
      </rPr>
      <t>Discovery Education will be funded in years 4 and 5 of the grant.</t>
    </r>
    <r>
      <rPr>
        <sz val="12"/>
        <rFont val="Arial"/>
        <family val="2"/>
      </rPr>
      <t xml:space="preserve">  A Literacy expert organization will be contracted to support professional development in literacy like Growing Educators, Literacy Partners, and 95% Group in years 2, 3, and 4 of Implementation for classroom support and coaching.  In year 5 these experts will be supporting teachers in transitioning from not receiving SIG Money and planning future academic programs of the students.</t>
    </r>
  </si>
  <si>
    <r>
      <t xml:space="preserve">Teacher Salary for </t>
    </r>
    <r>
      <rPr>
        <b/>
        <sz val="12"/>
        <rFont val="Arial"/>
        <family val="2"/>
      </rPr>
      <t>3 day Summer Professional Development Retreat</t>
    </r>
    <r>
      <rPr>
        <sz val="12"/>
        <rFont val="Arial"/>
        <family val="2"/>
      </rPr>
      <t xml:space="preserve"> -  Outline goals for upcoming school year and collaborate with grade level teachers
</t>
    </r>
    <r>
      <rPr>
        <i/>
        <sz val="12"/>
        <rFont val="Arial"/>
        <family val="2"/>
      </rPr>
      <t xml:space="preserve">
</t>
    </r>
    <r>
      <rPr>
        <u/>
        <sz val="12"/>
        <rFont val="Arial"/>
        <family val="2"/>
      </rPr>
      <t>Year 2: 5 days:</t>
    </r>
    <r>
      <rPr>
        <sz val="12"/>
        <rFont val="Arial"/>
        <family val="2"/>
      </rPr>
      <t xml:space="preserve"> 31  teachers x 30 hrs x $65/hr = $60,450  
1 instructional coach x 30 hrs x $65/hr = $1,950
</t>
    </r>
    <r>
      <rPr>
        <u/>
        <sz val="12"/>
        <rFont val="Arial"/>
        <family val="2"/>
      </rPr>
      <t>Years 3-5:</t>
    </r>
    <r>
      <rPr>
        <sz val="12"/>
        <rFont val="Arial"/>
        <family val="2"/>
      </rPr>
      <t xml:space="preserve"> 33 teachers x </t>
    </r>
    <r>
      <rPr>
        <strike/>
        <sz val="12"/>
        <rFont val="Arial"/>
        <family val="2"/>
      </rPr>
      <t>18</t>
    </r>
    <r>
      <rPr>
        <sz val="12"/>
        <rFont val="Arial"/>
        <family val="2"/>
      </rPr>
      <t xml:space="preserve"> 30 hrs x </t>
    </r>
    <r>
      <rPr>
        <strike/>
        <sz val="12"/>
        <rFont val="Arial"/>
        <family val="2"/>
      </rPr>
      <t>$65/hr</t>
    </r>
    <r>
      <rPr>
        <sz val="12"/>
        <rFont val="Arial"/>
        <family val="2"/>
      </rPr>
      <t xml:space="preserve"> $69/hr = </t>
    </r>
    <r>
      <rPr>
        <strike/>
        <sz val="12"/>
        <rFont val="Arial"/>
        <family val="2"/>
      </rPr>
      <t>$38,610</t>
    </r>
    <r>
      <rPr>
        <sz val="12"/>
        <rFont val="Arial"/>
        <family val="2"/>
      </rPr>
      <t xml:space="preserve"> $68,310
1 instructional coach x </t>
    </r>
    <r>
      <rPr>
        <strike/>
        <sz val="12"/>
        <rFont val="Arial"/>
        <family val="2"/>
      </rPr>
      <t>18</t>
    </r>
    <r>
      <rPr>
        <sz val="12"/>
        <rFont val="Arial"/>
        <family val="2"/>
      </rPr>
      <t xml:space="preserve"> 30 hrs x </t>
    </r>
    <r>
      <rPr>
        <strike/>
        <sz val="12"/>
        <rFont val="Arial"/>
        <family val="2"/>
      </rPr>
      <t>$65/hr</t>
    </r>
    <r>
      <rPr>
        <sz val="12"/>
        <rFont val="Arial"/>
        <family val="2"/>
      </rPr>
      <t xml:space="preserve"> $69/hr = </t>
    </r>
    <r>
      <rPr>
        <strike/>
        <sz val="12"/>
        <rFont val="Arial"/>
        <family val="2"/>
      </rPr>
      <t>$1,170</t>
    </r>
    <r>
      <rPr>
        <sz val="12"/>
        <rFont val="Arial"/>
        <family val="2"/>
      </rPr>
      <t xml:space="preserve"> $2,070</t>
    </r>
  </si>
  <si>
    <r>
      <t xml:space="preserve">Salary for 3 day Summer Professional Development Retreat  -  Outline goals for upcoming school year and collaborate with grade level teachers
</t>
    </r>
    <r>
      <rPr>
        <u/>
        <sz val="12"/>
        <rFont val="Arial"/>
        <family val="2"/>
      </rPr>
      <t>Year 2: 5 days</t>
    </r>
    <r>
      <rPr>
        <sz val="12"/>
        <rFont val="Arial"/>
        <family val="2"/>
      </rPr>
      <t xml:space="preserve">: </t>
    </r>
    <r>
      <rPr>
        <strike/>
        <sz val="12"/>
        <rFont val="Arial"/>
        <family val="2"/>
      </rPr>
      <t>3 admins (1 Principal, 1 Asst Principal, 1 SIG School Coord) x 30 hrs x $65/hr = $5,850</t>
    </r>
    <r>
      <rPr>
        <sz val="12"/>
        <rFont val="Arial"/>
        <family val="2"/>
      </rPr>
      <t xml:space="preserve"> (admins already on calendar for year 2)</t>
    </r>
    <r>
      <rPr>
        <strike/>
        <sz val="12"/>
        <rFont val="Arial"/>
        <family val="2"/>
      </rPr>
      <t xml:space="preserve">
</t>
    </r>
    <r>
      <rPr>
        <sz val="12"/>
        <rFont val="Arial"/>
        <family val="2"/>
      </rPr>
      <t xml:space="preserve">
</t>
    </r>
    <r>
      <rPr>
        <u/>
        <sz val="12"/>
        <rFont val="Arial"/>
        <family val="2"/>
      </rPr>
      <t>Years 3-5:</t>
    </r>
    <r>
      <rPr>
        <sz val="12"/>
        <rFont val="Arial"/>
        <family val="2"/>
      </rPr>
      <t xml:space="preserve"> 3 admins (1 Principal, 1 Asst Principal, 1 SIG School Coord) x 18 hrs x $65/hr = $3,510
(admins already on calendar)</t>
    </r>
  </si>
  <si>
    <r>
      <t xml:space="preserve">Salary for 3 day Summer Professional Development Retreat  -  Outline goals for upcoming school year and collaborate with grade level teachers
</t>
    </r>
    <r>
      <rPr>
        <u/>
        <sz val="12"/>
        <rFont val="Arial"/>
        <family val="2"/>
      </rPr>
      <t>Year 2: 5 days:</t>
    </r>
    <r>
      <rPr>
        <sz val="12"/>
        <rFont val="Arial"/>
        <family val="2"/>
      </rPr>
      <t xml:space="preserve"> 3 coordinators (2 Intvn/Prvtn Supp Coord, 1 Cat Prog Adv) x 30 hrs x $65/hr = $5,850
</t>
    </r>
    <r>
      <rPr>
        <u/>
        <sz val="12"/>
        <rFont val="Arial"/>
        <family val="2"/>
      </rPr>
      <t>Years 3-5:</t>
    </r>
    <r>
      <rPr>
        <sz val="12"/>
        <rFont val="Arial"/>
        <family val="2"/>
      </rPr>
      <t xml:space="preserve"> 3 coordinators (2 Intvn/Prvtn Supp Coord, 1 Cat Prog Adv) x </t>
    </r>
    <r>
      <rPr>
        <strike/>
        <sz val="12"/>
        <rFont val="Arial"/>
        <family val="2"/>
      </rPr>
      <t>18</t>
    </r>
    <r>
      <rPr>
        <sz val="12"/>
        <rFont val="Arial"/>
        <family val="2"/>
      </rPr>
      <t xml:space="preserve"> 30 hrs x </t>
    </r>
    <r>
      <rPr>
        <strike/>
        <sz val="12"/>
        <rFont val="Arial"/>
        <family val="2"/>
      </rPr>
      <t>$65/hr</t>
    </r>
    <r>
      <rPr>
        <sz val="12"/>
        <rFont val="Arial"/>
        <family val="2"/>
      </rPr>
      <t xml:space="preserve"> $69/hr = </t>
    </r>
    <r>
      <rPr>
        <strike/>
        <sz val="12"/>
        <rFont val="Arial"/>
        <family val="2"/>
      </rPr>
      <t>$3,510</t>
    </r>
    <r>
      <rPr>
        <sz val="12"/>
        <rFont val="Arial"/>
        <family val="2"/>
      </rPr>
      <t xml:space="preserve"> $6,210</t>
    </r>
  </si>
  <si>
    <r>
      <rPr>
        <b/>
        <sz val="12"/>
        <rFont val="Arial"/>
        <family val="2"/>
      </rPr>
      <t>Summer School</t>
    </r>
    <r>
      <rPr>
        <sz val="12"/>
        <rFont val="Arial"/>
        <family val="2"/>
      </rPr>
      <t xml:space="preserve"> </t>
    </r>
    <r>
      <rPr>
        <b/>
        <sz val="12"/>
        <rFont val="Arial"/>
        <family val="2"/>
      </rPr>
      <t xml:space="preserve">2018 </t>
    </r>
    <r>
      <rPr>
        <sz val="12"/>
        <rFont val="Arial"/>
        <family val="2"/>
      </rPr>
      <t xml:space="preserve">- 3 week summer session to support increases in student achievement in grades
K-5.
</t>
    </r>
    <r>
      <rPr>
        <strike/>
        <sz val="12"/>
        <rFont val="Arial"/>
        <family val="2"/>
      </rPr>
      <t xml:space="preserve">7 </t>
    </r>
    <r>
      <rPr>
        <sz val="12"/>
        <rFont val="Arial"/>
        <family val="2"/>
      </rPr>
      <t xml:space="preserve"> 2 teachers x 20 hrs x 3 wks x $65/hr = </t>
    </r>
    <r>
      <rPr>
        <strike/>
        <sz val="12"/>
        <rFont val="Arial"/>
        <family val="2"/>
      </rPr>
      <t xml:space="preserve">$27,300 $7,800  </t>
    </r>
    <r>
      <rPr>
        <sz val="12"/>
        <rFont val="Arial"/>
        <family val="2"/>
      </rPr>
      <t xml:space="preserve">(2 weeks - 10 days in June 2018 and 1 week - </t>
    </r>
    <r>
      <rPr>
        <strike/>
        <sz val="12"/>
        <rFont val="Arial"/>
        <family val="2"/>
      </rPr>
      <t>5</t>
    </r>
    <r>
      <rPr>
        <sz val="12"/>
        <rFont val="Arial"/>
        <family val="2"/>
      </rPr>
      <t xml:space="preserve"> 9 days in July 2018:  2 teachers x 3.5 hrs/day x 9 days x $69/hr) = $4,347)                                                              </t>
    </r>
  </si>
  <si>
    <r>
      <t xml:space="preserve">Summer School 2018 - 3 week summer session to support increases in student achievement in grades
K-5.
1 Principal  x 20 hrs x 3 wks x $71/hr = </t>
    </r>
    <r>
      <rPr>
        <strike/>
        <sz val="12"/>
        <rFont val="Arial"/>
        <family val="2"/>
      </rPr>
      <t>$4,260</t>
    </r>
    <r>
      <rPr>
        <sz val="12"/>
        <rFont val="Arial"/>
        <family val="2"/>
      </rPr>
      <t xml:space="preserve"> (2 weeks - 10 days in June 2018 and 1 week - </t>
    </r>
    <r>
      <rPr>
        <strike/>
        <sz val="12"/>
        <rFont val="Arial"/>
        <family val="2"/>
      </rPr>
      <t>5</t>
    </r>
    <r>
      <rPr>
        <sz val="12"/>
        <rFont val="Arial"/>
        <family val="2"/>
      </rPr>
      <t xml:space="preserve"> 9 days in July 2018: 1 admin x 5 hrs/day x 9 days x $65/hr)                                                      
</t>
    </r>
  </si>
  <si>
    <r>
      <t xml:space="preserve">Summer School 2018 - 3 week summer session to support increases in student achievement in grades
K-5.
1 Coordinator x 20 hrs x 3 wks x $65/hr = </t>
    </r>
    <r>
      <rPr>
        <strike/>
        <sz val="12"/>
        <rFont val="Arial"/>
        <family val="2"/>
      </rPr>
      <t>$3,900</t>
    </r>
    <r>
      <rPr>
        <sz val="12"/>
        <rFont val="Arial"/>
        <family val="2"/>
      </rPr>
      <t xml:space="preserve"> (2 weeks - 10 days in June 2018 and 1 week - </t>
    </r>
    <r>
      <rPr>
        <strike/>
        <sz val="12"/>
        <rFont val="Arial"/>
        <family val="2"/>
      </rPr>
      <t>5</t>
    </r>
    <r>
      <rPr>
        <sz val="12"/>
        <rFont val="Arial"/>
        <family val="2"/>
      </rPr>
      <t xml:space="preserve"> 9 days in July 2018: 1 coord x 3.5 hrs/day x 9 days x $69/hr = $2,173)</t>
    </r>
  </si>
  <si>
    <r>
      <rPr>
        <b/>
        <sz val="12"/>
        <rFont val="Arial"/>
        <family val="2"/>
      </rPr>
      <t xml:space="preserve">Grade Level chair X/Z Time </t>
    </r>
    <r>
      <rPr>
        <sz val="12"/>
        <rFont val="Arial"/>
        <family val="2"/>
      </rPr>
      <t xml:space="preserve">for attending monthly administrative meetings to review student data and plan instruction for core curriculum and the Common Core Standards.
Year 2: 7 teachers x ~14.80 hrs x $65/hr = $6,735
Years 3-5: 7 teachers x 17 hrs x </t>
    </r>
    <r>
      <rPr>
        <strike/>
        <sz val="12"/>
        <rFont val="Arial"/>
        <family val="2"/>
      </rPr>
      <t>$65/hr</t>
    </r>
    <r>
      <rPr>
        <sz val="12"/>
        <rFont val="Arial"/>
        <family val="2"/>
      </rPr>
      <t xml:space="preserve"> $69/hr =  </t>
    </r>
    <r>
      <rPr>
        <strike/>
        <sz val="12"/>
        <rFont val="Arial"/>
        <family val="2"/>
      </rPr>
      <t xml:space="preserve">$7,735 </t>
    </r>
    <r>
      <rPr>
        <sz val="12"/>
        <rFont val="Arial"/>
        <family val="2"/>
      </rPr>
      <t>$8,211</t>
    </r>
  </si>
  <si>
    <r>
      <rPr>
        <b/>
        <sz val="12"/>
        <rFont val="Arial"/>
        <family val="2"/>
      </rPr>
      <t xml:space="preserve">Extended School Day </t>
    </r>
    <r>
      <rPr>
        <sz val="12"/>
        <rFont val="Arial"/>
        <family val="2"/>
      </rPr>
      <t xml:space="preserve">- Staff will be paid for the additional 30 minutes of instruction time
</t>
    </r>
    <r>
      <rPr>
        <u/>
        <sz val="12"/>
        <rFont val="Arial"/>
        <family val="2"/>
      </rPr>
      <t>Year 2</t>
    </r>
    <r>
      <rPr>
        <sz val="12"/>
        <rFont val="Arial"/>
        <family val="2"/>
      </rPr>
      <t xml:space="preserve">: 32 teachers x 30 mins/day x 180 days x $65/hr = $187,200
1 instructional coach x 30 mins/day x 180 days x $65/hr = $5,850
</t>
    </r>
    <r>
      <rPr>
        <u/>
        <sz val="12"/>
        <rFont val="Arial"/>
        <family val="2"/>
      </rPr>
      <t>Years 3-5:</t>
    </r>
    <r>
      <rPr>
        <sz val="12"/>
        <rFont val="Arial"/>
        <family val="2"/>
      </rPr>
      <t xml:space="preserve"> 33 teachers x 30 mins/day x 180 days x $69/hr = $204,930
1 instructional coach x 30 mins/day x 180 days x $69/hr = $6,210</t>
    </r>
  </si>
  <si>
    <r>
      <t xml:space="preserve">Extended School Day - Staff will be paid for the additional 30 minutes of instruction time
</t>
    </r>
    <r>
      <rPr>
        <u/>
        <sz val="12"/>
        <rFont val="Arial"/>
        <family val="2"/>
      </rPr>
      <t>Year 2</t>
    </r>
    <r>
      <rPr>
        <sz val="12"/>
        <rFont val="Arial"/>
        <family val="2"/>
      </rPr>
      <t xml:space="preserve">: 3 coordinators (2 Intvn/Prvtn Supp Coord, 1 Cat Prog Adv) x 30 mins/day x 180 days x </t>
    </r>
    <r>
      <rPr>
        <strike/>
        <sz val="12"/>
        <rFont val="Arial"/>
        <family val="2"/>
      </rPr>
      <t>$65/hr</t>
    </r>
    <r>
      <rPr>
        <sz val="12"/>
        <rFont val="Arial"/>
        <family val="2"/>
      </rPr>
      <t xml:space="preserve"> $68/hr = </t>
    </r>
    <r>
      <rPr>
        <strike/>
        <sz val="12"/>
        <rFont val="Arial"/>
        <family val="2"/>
      </rPr>
      <t>$17,550</t>
    </r>
    <r>
      <rPr>
        <sz val="12"/>
        <rFont val="Arial"/>
        <family val="2"/>
      </rPr>
      <t xml:space="preserve"> $18,360
</t>
    </r>
    <r>
      <rPr>
        <u/>
        <sz val="12"/>
        <rFont val="Arial"/>
        <family val="2"/>
      </rPr>
      <t>Years 3-5</t>
    </r>
    <r>
      <rPr>
        <sz val="12"/>
        <rFont val="Arial"/>
        <family val="2"/>
      </rPr>
      <t>: 3 coordinators (2 Intvn/Prvtn Supp Coord, 1 Cat Prog Adv) x 30 mins/day x 180 days x $72/hr = $19,440</t>
    </r>
  </si>
  <si>
    <r>
      <rPr>
        <b/>
        <sz val="12"/>
        <rFont val="Arial"/>
        <family val="2"/>
      </rPr>
      <t xml:space="preserve">Staff pay X/Z Time </t>
    </r>
    <r>
      <rPr>
        <sz val="12"/>
        <rFont val="Arial"/>
        <family val="2"/>
      </rPr>
      <t xml:space="preserve">for </t>
    </r>
    <r>
      <rPr>
        <b/>
        <sz val="12"/>
        <rFont val="Arial"/>
        <family val="2"/>
      </rPr>
      <t>planning</t>
    </r>
    <r>
      <rPr>
        <sz val="12"/>
        <rFont val="Arial"/>
        <family val="2"/>
      </rPr>
      <t xml:space="preserve"> sessions in Common Core Lesson Study in ELA and Math
</t>
    </r>
    <r>
      <rPr>
        <u/>
        <sz val="12"/>
        <rFont val="Arial"/>
        <family val="2"/>
      </rPr>
      <t>Year 2</t>
    </r>
    <r>
      <rPr>
        <sz val="12"/>
        <rFont val="Arial"/>
        <family val="2"/>
      </rPr>
      <t xml:space="preserve">: 33 teachers  x 10 hours x 65/hr = $21,450
1 instructional coach x 10 hours x $65/hr = $650
</t>
    </r>
    <r>
      <rPr>
        <u/>
        <sz val="12"/>
        <rFont val="Arial"/>
        <family val="2"/>
      </rPr>
      <t>Years 3-5:</t>
    </r>
    <r>
      <rPr>
        <sz val="12"/>
        <rFont val="Arial"/>
        <family val="2"/>
      </rPr>
      <t xml:space="preserve"> 33 teachers  x 10 hours x 69/hr = $22,770
1 instructional coach x 10 hours x $69/hr = $690
</t>
    </r>
    <r>
      <rPr>
        <u/>
        <sz val="12"/>
        <rFont val="Arial"/>
        <family val="2"/>
      </rPr>
      <t>Year 2</t>
    </r>
    <r>
      <rPr>
        <sz val="12"/>
        <rFont val="Arial"/>
        <family val="2"/>
      </rPr>
      <t xml:space="preserve"> (did not occur): </t>
    </r>
    <r>
      <rPr>
        <b/>
        <sz val="12"/>
        <rFont val="Arial"/>
        <family val="2"/>
      </rPr>
      <t>Staff X/Z time to attend math trainings</t>
    </r>
    <r>
      <rPr>
        <sz val="12"/>
        <rFont val="Arial"/>
        <family val="2"/>
      </rPr>
      <t xml:space="preserve"> (two 4-hr training).  PD to be delivered to staff in order to increase math achievement through building staff content knowledge in mathematical pedagogy.
32 teachers x 8 hrs x $65/hr = $16,640
1 instructional coach x 8 hrs x $65/hr = $520
</t>
    </r>
    <r>
      <rPr>
        <u/>
        <sz val="12"/>
        <rFont val="Arial"/>
        <family val="2"/>
      </rPr>
      <t xml:space="preserve">Year 3: </t>
    </r>
    <r>
      <rPr>
        <b/>
        <sz val="12"/>
        <rFont val="Arial"/>
        <family val="2"/>
      </rPr>
      <t>Staff X time for Kagan PD</t>
    </r>
    <r>
      <rPr>
        <sz val="12"/>
        <rFont val="Arial"/>
        <family val="2"/>
      </rPr>
      <t xml:space="preserve"> focusing on classroom management and student engagement strategies
33 teachers  x 6 hrs/day x 2 days x 69/hr = $27,324
1 instructional coach x 6 hrs/day x 2 days x $69/hr = $828</t>
    </r>
  </si>
  <si>
    <r>
      <t xml:space="preserve">Staff pay X/Z Time for planning sessions in Common Core Lesson Study in ELA and Math
</t>
    </r>
    <r>
      <rPr>
        <u/>
        <sz val="12"/>
        <rFont val="Arial"/>
        <family val="2"/>
      </rPr>
      <t xml:space="preserve">Year 2 </t>
    </r>
    <r>
      <rPr>
        <sz val="12"/>
        <rFont val="Arial"/>
        <family val="2"/>
      </rPr>
      <t xml:space="preserve">: 3 admins (1 Principal, 1 Asst Principal, 1 SIG School Coord) x </t>
    </r>
    <r>
      <rPr>
        <strike/>
        <sz val="12"/>
        <rFont val="Arial"/>
        <family val="2"/>
      </rPr>
      <t>10</t>
    </r>
    <r>
      <rPr>
        <sz val="12"/>
        <rFont val="Arial"/>
        <family val="2"/>
      </rPr>
      <t xml:space="preserve"> 20 hours x $</t>
    </r>
    <r>
      <rPr>
        <strike/>
        <sz val="12"/>
        <rFont val="Arial"/>
        <family val="2"/>
      </rPr>
      <t xml:space="preserve">65 </t>
    </r>
    <r>
      <rPr>
        <sz val="12"/>
        <rFont val="Arial"/>
        <family val="2"/>
      </rPr>
      <t xml:space="preserve">$71/hr = </t>
    </r>
    <r>
      <rPr>
        <strike/>
        <sz val="12"/>
        <rFont val="Arial"/>
        <family val="2"/>
      </rPr>
      <t>$1,950</t>
    </r>
    <r>
      <rPr>
        <sz val="12"/>
        <rFont val="Arial"/>
        <family val="2"/>
      </rPr>
      <t xml:space="preserve"> $4,260
</t>
    </r>
    <r>
      <rPr>
        <u/>
        <sz val="12"/>
        <rFont val="Arial"/>
        <family val="2"/>
      </rPr>
      <t>Year 3</t>
    </r>
    <r>
      <rPr>
        <sz val="12"/>
        <rFont val="Arial"/>
        <family val="2"/>
      </rPr>
      <t xml:space="preserve">: 3 admins (1 Principal, 1 Asst Principal, 1 SIG School Coord) x </t>
    </r>
    <r>
      <rPr>
        <strike/>
        <sz val="12"/>
        <rFont val="Arial"/>
        <family val="2"/>
      </rPr>
      <t>10</t>
    </r>
    <r>
      <rPr>
        <sz val="12"/>
        <rFont val="Arial"/>
        <family val="2"/>
      </rPr>
      <t xml:space="preserve"> 20 hours x </t>
    </r>
    <r>
      <rPr>
        <strike/>
        <sz val="12"/>
        <rFont val="Arial"/>
        <family val="2"/>
      </rPr>
      <t>$65</t>
    </r>
    <r>
      <rPr>
        <sz val="12"/>
        <rFont val="Arial"/>
        <family val="2"/>
      </rPr>
      <t xml:space="preserve"> $71/hr = </t>
    </r>
    <r>
      <rPr>
        <strike/>
        <sz val="12"/>
        <rFont val="Arial"/>
        <family val="2"/>
      </rPr>
      <t xml:space="preserve">$1,950 </t>
    </r>
    <r>
      <rPr>
        <sz val="12"/>
        <rFont val="Arial"/>
        <family val="2"/>
      </rPr>
      <t xml:space="preserve">$4,260
Years 4-5: 3 admins (1 Principal, 1 Asst Principal, 1 SIG School Coord) x 10 hours x $71/hr = $2,130
</t>
    </r>
    <r>
      <rPr>
        <u/>
        <sz val="12"/>
        <rFont val="Arial"/>
        <family val="2"/>
      </rPr>
      <t xml:space="preserve">Year 2 </t>
    </r>
    <r>
      <rPr>
        <sz val="12"/>
        <rFont val="Arial"/>
        <family val="2"/>
      </rPr>
      <t xml:space="preserve">(did not occur): Staff X/Z time to attend math trainings (two 4-hr training).  PD to be delivered to staff in order to increase math achievement through building staff content knowledge in mathematical pedagogy.
Planning time: 2 presenters x 4 hrs x $71/hr = $568
3 admins x 8 hrs x $71/hr = $1,704
1 presenter (admin) x 8 hrs x $71/hr = $568
</t>
    </r>
    <r>
      <rPr>
        <u/>
        <sz val="12"/>
        <rFont val="Arial"/>
        <family val="2"/>
      </rPr>
      <t>Year 3:</t>
    </r>
    <r>
      <rPr>
        <sz val="12"/>
        <rFont val="Arial"/>
        <family val="2"/>
      </rPr>
      <t xml:space="preserve"> Staff X time for Kagan PD
3 admins (1 Principal, 1 Asst Principal, 1 SIG School Coord) x 6 hrs/day x 2 days $71/hr = $2,556</t>
    </r>
  </si>
  <si>
    <r>
      <t xml:space="preserve">Staff pay X/Z Time for planning sessions in Common Core Lesson Study in ELA and Math
Year 2: 3 coordinators (2 Intvn/Prvtn Supp Coord, 1 Cat Prog Adv) x 10 hours x 65/hr = $1,950
Year 3: 3 coordinators (2 Intvn/Prvtn Supp Coord, 1 Cat Prog Adv) x </t>
    </r>
    <r>
      <rPr>
        <strike/>
        <sz val="12"/>
        <rFont val="Arial"/>
        <family val="2"/>
      </rPr>
      <t>10</t>
    </r>
    <r>
      <rPr>
        <sz val="12"/>
        <rFont val="Arial"/>
        <family val="2"/>
      </rPr>
      <t xml:space="preserve"> 20 hours x </t>
    </r>
    <r>
      <rPr>
        <strike/>
        <sz val="12"/>
        <rFont val="Arial"/>
        <family val="2"/>
      </rPr>
      <t>65/hr</t>
    </r>
    <r>
      <rPr>
        <sz val="12"/>
        <rFont val="Arial"/>
        <family val="2"/>
      </rPr>
      <t xml:space="preserve"> $72/hr = </t>
    </r>
    <r>
      <rPr>
        <strike/>
        <sz val="12"/>
        <rFont val="Arial"/>
        <family val="2"/>
      </rPr>
      <t>$1,950</t>
    </r>
    <r>
      <rPr>
        <sz val="12"/>
        <rFont val="Arial"/>
        <family val="2"/>
      </rPr>
      <t xml:space="preserve"> $4,320
Year 4-5: 3 coordinators (2 Intvn/Prvtn Supp Coord, 1 Cat Prog Adv) x 10 hours x $72/hr = $2,160
Year 2 (did not occur): Staff X/Z time to attend math trainings (two 4-hr training).  PD to be delivered to staff in order to increase math achievement through building staff content knowledge in mathematical pedagogy.
3 coordinators x 8 hrs x </t>
    </r>
    <r>
      <rPr>
        <strike/>
        <sz val="12"/>
        <rFont val="Arial"/>
        <family val="2"/>
      </rPr>
      <t>$65/hr</t>
    </r>
    <r>
      <rPr>
        <sz val="12"/>
        <rFont val="Arial"/>
        <family val="2"/>
      </rPr>
      <t xml:space="preserve"> $68/hr = </t>
    </r>
    <r>
      <rPr>
        <strike/>
        <sz val="12"/>
        <rFont val="Arial"/>
        <family val="2"/>
      </rPr>
      <t>$1,560</t>
    </r>
    <r>
      <rPr>
        <sz val="12"/>
        <rFont val="Arial"/>
        <family val="2"/>
      </rPr>
      <t xml:space="preserve"> $1,632
Year 3: Staff X time for Kagan PD
3 coordinators (2 Intvn/Prvtn Supp Coord, 1 Cat Prog Adv) x 6 hrs/day x 3 days x 69/hr = $3,726</t>
    </r>
  </si>
  <si>
    <r>
      <rPr>
        <b/>
        <sz val="12"/>
        <rFont val="Arial"/>
        <family val="2"/>
      </rPr>
      <t>Saturday  School</t>
    </r>
    <r>
      <rPr>
        <sz val="12"/>
        <rFont val="Arial"/>
        <family val="2"/>
      </rPr>
      <t xml:space="preserve"> will provide intervention to support students in meeting the core curriculum and the Common Core Standards.
Year 2: 4 teachers x 4.5 hrs/day x 21 Saturdays x $65/hr = $24,570
Spring 2018: 3 additional teachers x 4.5 hrs/day x 12 Saturdays x $65/hr = $10,530
Year 3: Fall 2018: 1 teacher x 4.5 hrs/day x 7 Saturdays x $69/hr = $2,174
Spring 2019: 6 teachers x 4.5 hrs/day x 14 Saturdays x $69/hr = $26,082
Years 4-5: 4 teachers x 4.5 hrs/day x 14 Saturdays x </t>
    </r>
    <r>
      <rPr>
        <strike/>
        <sz val="12"/>
        <rFont val="Arial"/>
        <family val="2"/>
      </rPr>
      <t>$65/hr</t>
    </r>
    <r>
      <rPr>
        <sz val="12"/>
        <rFont val="Arial"/>
        <family val="2"/>
      </rPr>
      <t xml:space="preserve"> $69/hr = </t>
    </r>
    <r>
      <rPr>
        <strike/>
        <sz val="12"/>
        <rFont val="Arial"/>
        <family val="2"/>
      </rPr>
      <t>$16,380</t>
    </r>
    <r>
      <rPr>
        <sz val="12"/>
        <rFont val="Arial"/>
        <family val="2"/>
      </rPr>
      <t xml:space="preserve"> $17,388</t>
    </r>
  </si>
  <si>
    <r>
      <t xml:space="preserve">Saturday  School will provide intervention to support students in meeting the core curriculum and the Common Core Standards.
Year 2: 1 admin x 5.5 hrs/day x 21 Saturdays x $71/hr = $8,201
Years 3-5: 1 admin x 5.5 hrs/day x </t>
    </r>
    <r>
      <rPr>
        <strike/>
        <sz val="12"/>
        <rFont val="Arial"/>
        <family val="2"/>
      </rPr>
      <t>14</t>
    </r>
    <r>
      <rPr>
        <sz val="12"/>
        <rFont val="Arial"/>
        <family val="2"/>
      </rPr>
      <t xml:space="preserve"> 21 Saturdays x $71/hr = </t>
    </r>
    <r>
      <rPr>
        <strike/>
        <sz val="12"/>
        <rFont val="Arial"/>
        <family val="2"/>
      </rPr>
      <t>$5,467</t>
    </r>
    <r>
      <rPr>
        <sz val="12"/>
        <rFont val="Arial"/>
        <family val="2"/>
      </rPr>
      <t xml:space="preserve"> $8,201</t>
    </r>
  </si>
  <si>
    <r>
      <rPr>
        <b/>
        <sz val="12"/>
        <rFont val="Arial"/>
        <family val="2"/>
      </rPr>
      <t xml:space="preserve">FTE 1.0 Intervention Support Coordinator </t>
    </r>
    <r>
      <rPr>
        <sz val="12"/>
        <rFont val="Arial"/>
        <family val="2"/>
      </rPr>
      <t>is needed to manage  the Intervention lab and supervise  and coordinate all intervention programs including but not limited to in-class intervention for struggling students using RTI, extended intervention programs, COST, and SST meetings salary +(differential)
Years 3-4: Fund an additional half time Intervention Support Coordinator to support the intervention program.</t>
    </r>
  </si>
  <si>
    <r>
      <rPr>
        <b/>
        <sz val="12"/>
        <rFont val="Arial"/>
        <family val="2"/>
      </rPr>
      <t>Technology</t>
    </r>
    <r>
      <rPr>
        <sz val="12"/>
        <rFont val="Arial"/>
        <family val="2"/>
      </rPr>
      <t xml:space="preserve"> will be purchased to support student use of technology for classroom and web-based learning. Price of devices includes all District, state, and federal fees.
72 chromebooks x $284.45/each = $20,480.35
Year 3: 180 chromebooks with licensing fee, ewaste fee, District fee, and 24 hour service fee x $285.55 ea = $51,399</t>
    </r>
  </si>
  <si>
    <r>
      <rPr>
        <b/>
        <sz val="12"/>
        <rFont val="Arial"/>
        <family val="2"/>
      </rPr>
      <t>Technology</t>
    </r>
    <r>
      <rPr>
        <sz val="12"/>
        <rFont val="Arial"/>
        <family val="2"/>
      </rPr>
      <t xml:space="preserve"> will be purchased to support student use of technology for classroom and web-based learning.
2 laptop carts x $1,800 = $3,600
Year 3: 5 chromebook carts including installation and delivery x $1,625 ea = $8,125</t>
    </r>
  </si>
  <si>
    <r>
      <rPr>
        <b/>
        <sz val="12"/>
        <rFont val="Arial"/>
        <family val="2"/>
      </rPr>
      <t>Technology</t>
    </r>
    <r>
      <rPr>
        <sz val="12"/>
        <rFont val="Arial"/>
        <family val="2"/>
      </rPr>
      <t xml:space="preserve"> will be purchased to support the delivery of standards-based lessons and professional development.
1 LCD projector x </t>
    </r>
    <r>
      <rPr>
        <strike/>
        <sz val="12"/>
        <rFont val="Arial"/>
        <family val="2"/>
      </rPr>
      <t>$500</t>
    </r>
    <r>
      <rPr>
        <sz val="12"/>
        <rFont val="Arial"/>
        <family val="2"/>
      </rPr>
      <t xml:space="preserve"> $459.90 ea = </t>
    </r>
    <r>
      <rPr>
        <strike/>
        <sz val="12"/>
        <rFont val="Arial"/>
        <family val="2"/>
      </rPr>
      <t>$500</t>
    </r>
    <r>
      <rPr>
        <sz val="12"/>
        <rFont val="Arial"/>
        <family val="2"/>
      </rPr>
      <t xml:space="preserve"> $459.90 (moved from 4400)
</t>
    </r>
    <r>
      <rPr>
        <strike/>
        <sz val="12"/>
        <rFont val="Arial"/>
        <family val="2"/>
      </rPr>
      <t>20</t>
    </r>
    <r>
      <rPr>
        <sz val="12"/>
        <rFont val="Arial"/>
        <family val="2"/>
      </rPr>
      <t xml:space="preserve"> 28 computer speakers x </t>
    </r>
    <r>
      <rPr>
        <strike/>
        <sz val="12"/>
        <rFont val="Arial"/>
        <family val="2"/>
      </rPr>
      <t>$20</t>
    </r>
    <r>
      <rPr>
        <sz val="12"/>
        <rFont val="Arial"/>
        <family val="2"/>
      </rPr>
      <t xml:space="preserve"> $21.90 = </t>
    </r>
    <r>
      <rPr>
        <strike/>
        <sz val="12"/>
        <rFont val="Arial"/>
        <family val="2"/>
      </rPr>
      <t>$400</t>
    </r>
    <r>
      <rPr>
        <sz val="12"/>
        <rFont val="Arial"/>
        <family val="2"/>
      </rPr>
      <t xml:space="preserve"> $613.20
1 external DVD writer x $71.18 = $71.18
30 dongles x $28.47/each = $854.10
Year 3: 50 headphone splitters X $16.01/each = $800.50 (including tax and shipping)
615 student headphones X $8.29 each = $5,098.35</t>
    </r>
  </si>
  <si>
    <r>
      <rPr>
        <b/>
        <sz val="12"/>
        <rFont val="Arial"/>
        <family val="2"/>
      </rPr>
      <t xml:space="preserve">Education Management Organization (EMO) </t>
    </r>
    <r>
      <rPr>
        <sz val="12"/>
        <rFont val="Arial"/>
        <family val="2"/>
      </rPr>
      <t>contract for teacher support in professional development, coaching, and planning core instruction to support the school's instructional program.
(Year 3: added $17,853 since year 2's final invoice was paid in FY 2018-19)</t>
    </r>
  </si>
  <si>
    <r>
      <rPr>
        <b/>
        <strike/>
        <sz val="12"/>
        <rFont val="Arial"/>
        <family val="2"/>
      </rPr>
      <t>STAR Education</t>
    </r>
    <r>
      <rPr>
        <sz val="12"/>
        <rFont val="Arial"/>
        <family val="2"/>
      </rPr>
      <t xml:space="preserve"> </t>
    </r>
    <r>
      <rPr>
        <b/>
        <sz val="12"/>
        <rFont val="Arial"/>
        <family val="2"/>
      </rPr>
      <t xml:space="preserve">Discovery Education </t>
    </r>
    <r>
      <rPr>
        <sz val="12"/>
        <rFont val="Arial"/>
        <family val="2"/>
      </rPr>
      <t>contract services to provide science/social studies enrichment  to students while providing release time for teachers to collaborate and plan standards-based lessons in areas of need shown by data.
(will not occur in year 3.  Years 4-5 will be Discovery Education)</t>
    </r>
  </si>
  <si>
    <r>
      <t xml:space="preserve">Contracted services by </t>
    </r>
    <r>
      <rPr>
        <b/>
        <sz val="12"/>
        <rFont val="Arial"/>
        <family val="2"/>
      </rPr>
      <t xml:space="preserve">Kagan </t>
    </r>
    <r>
      <rPr>
        <sz val="12"/>
        <rFont val="Arial"/>
        <family val="2"/>
      </rPr>
      <t>for training teachers in classroom management and student behavior.                                                                                                                                                                                                  Year 3 includes 2 6-hour PDs and 3 one-on-one coaching days</t>
    </r>
  </si>
  <si>
    <t>carryover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</si>
</sst>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4" x14ac:knownFonts="1">
    <font>
      <sz val="10"/>
      <color theme="1"/>
      <name val="Consolas"/>
      <family val="2"/>
    </font>
    <font>
      <sz val="11"/>
      <color theme="1"/>
      <name val="Calibri"/>
      <family val="2"/>
      <scheme val="minor"/>
    </font>
    <font>
      <sz val="11"/>
      <color indexed="8"/>
      <name val="Calibri"/>
      <family val="2"/>
    </font>
    <font>
      <sz val="12"/>
      <name val="Arial"/>
      <family val="2"/>
    </font>
    <font>
      <sz val="10"/>
      <color theme="1"/>
      <name val="Consolas"/>
      <family val="2"/>
    </font>
    <font>
      <sz val="11"/>
      <color theme="1"/>
      <name val="Calibri"/>
      <family val="2"/>
      <scheme val="minor"/>
    </font>
    <font>
      <u/>
      <sz val="10"/>
      <color theme="10"/>
      <name val="Arial"/>
      <family val="2"/>
    </font>
    <font>
      <sz val="10"/>
      <color theme="1"/>
      <name val="Arial"/>
      <family val="2"/>
    </font>
    <font>
      <b/>
      <sz val="12"/>
      <color rgb="FF1F497D"/>
      <name val="Calibri"/>
      <family val="2"/>
      <scheme val="minor"/>
    </font>
    <font>
      <b/>
      <sz val="16"/>
      <color theme="0" tint="-0.499984740745262"/>
      <name val="Calibri"/>
      <family val="2"/>
      <scheme val="minor"/>
    </font>
    <font>
      <b/>
      <sz val="12"/>
      <name val="Arial"/>
      <family val="2"/>
    </font>
    <font>
      <b/>
      <sz val="14"/>
      <name val="Arial"/>
      <family val="2"/>
    </font>
    <font>
      <i/>
      <sz val="12"/>
      <name val="Arial"/>
      <family val="2"/>
    </font>
    <font>
      <sz val="9"/>
      <color indexed="81"/>
      <name val="Tahoma"/>
      <family val="2"/>
    </font>
    <font>
      <strike/>
      <sz val="12"/>
      <name val="Arial"/>
      <family val="2"/>
    </font>
    <font>
      <sz val="12"/>
      <color rgb="FFFF0000"/>
      <name val="Arial"/>
      <family val="2"/>
    </font>
    <font>
      <b/>
      <strike/>
      <sz val="12"/>
      <name val="Arial"/>
      <family val="2"/>
    </font>
    <font>
      <u/>
      <sz val="12"/>
      <name val="Arial"/>
      <family val="2"/>
    </font>
    <font>
      <u val="singleAccounting"/>
      <sz val="12"/>
      <name val="Arial"/>
      <family val="2"/>
    </font>
    <font>
      <sz val="10"/>
      <color indexed="81"/>
      <name val="Tahoma"/>
      <family val="2"/>
    </font>
    <font>
      <sz val="10"/>
      <name val="Arial"/>
      <family val="2"/>
    </font>
    <font>
      <b/>
      <sz val="12"/>
      <name val="Calibri"/>
      <family val="2"/>
    </font>
    <font>
      <vertAlign val="superscript"/>
      <sz val="12"/>
      <name val="Arial"/>
      <family val="2"/>
    </font>
    <font>
      <u/>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mediumGray"/>
    </fill>
    <fill>
      <patternFill patternType="solid">
        <fgColor theme="0"/>
        <bgColor indexed="64"/>
      </patternFill>
    </fill>
  </fills>
  <borders count="63">
    <border>
      <left/>
      <right/>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auto="1"/>
      </left>
      <right style="medium">
        <color indexed="64"/>
      </right>
      <top/>
      <bottom style="thin">
        <color auto="1"/>
      </bottom>
      <diagonal/>
    </border>
  </borders>
  <cellStyleXfs count="15">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xf numFmtId="0" fontId="5" fillId="0" borderId="0"/>
    <xf numFmtId="0" fontId="4" fillId="0" borderId="0"/>
    <xf numFmtId="0" fontId="5" fillId="0" borderId="0"/>
    <xf numFmtId="0" fontId="4" fillId="0" borderId="0"/>
    <xf numFmtId="0" fontId="7" fillId="0" borderId="0"/>
    <xf numFmtId="0" fontId="2" fillId="0" borderId="0"/>
    <xf numFmtId="43"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367">
    <xf numFmtId="0" fontId="0" fillId="0" borderId="0" xfId="0"/>
    <xf numFmtId="0" fontId="8" fillId="0" borderId="0" xfId="0" applyFont="1"/>
    <xf numFmtId="0" fontId="9" fillId="0" borderId="0" xfId="0" applyFont="1"/>
    <xf numFmtId="44" fontId="3" fillId="3" borderId="4" xfId="2" applyNumberFormat="1" applyFont="1" applyFill="1" applyBorder="1" applyAlignment="1">
      <alignment horizontal="center" vertical="center" wrapText="1"/>
    </xf>
    <xf numFmtId="44" fontId="3" fillId="3" borderId="4" xfId="2" applyNumberFormat="1" applyFont="1" applyFill="1" applyBorder="1" applyAlignment="1">
      <alignment horizontal="left" vertical="center" wrapText="1"/>
    </xf>
    <xf numFmtId="44" fontId="3" fillId="0" borderId="4" xfId="2" applyNumberFormat="1" applyFont="1" applyFill="1" applyBorder="1" applyAlignment="1">
      <alignment horizontal="left" vertical="center" wrapText="1"/>
    </xf>
    <xf numFmtId="44" fontId="3" fillId="0" borderId="4" xfId="2" applyNumberFormat="1" applyFont="1" applyFill="1" applyBorder="1" applyAlignment="1">
      <alignment horizontal="center" vertical="center" wrapText="1"/>
    </xf>
    <xf numFmtId="0" fontId="3" fillId="0" borderId="4" xfId="6" applyFont="1" applyFill="1" applyBorder="1" applyAlignment="1">
      <alignment horizontal="left" vertical="top" wrapText="1"/>
    </xf>
    <xf numFmtId="0" fontId="3" fillId="0" borderId="4" xfId="5" applyFont="1" applyFill="1" applyBorder="1" applyAlignment="1">
      <alignment horizontal="left" vertical="top" wrapText="1"/>
    </xf>
    <xf numFmtId="0" fontId="3" fillId="0" borderId="19" xfId="9" applyFont="1" applyBorder="1" applyAlignment="1">
      <alignment horizontal="center" vertical="center" wrapText="1"/>
    </xf>
    <xf numFmtId="0" fontId="3" fillId="0" borderId="47" xfId="9" applyFont="1" applyBorder="1" applyAlignment="1">
      <alignment vertical="center" wrapText="1"/>
    </xf>
    <xf numFmtId="0" fontId="3" fillId="0" borderId="16" xfId="9" applyFont="1" applyBorder="1" applyAlignment="1">
      <alignment horizontal="center" vertical="center" wrapText="1"/>
    </xf>
    <xf numFmtId="0" fontId="3" fillId="0" borderId="1" xfId="10" applyFont="1" applyBorder="1" applyAlignment="1">
      <alignment horizontal="left" vertical="top" wrapText="1"/>
    </xf>
    <xf numFmtId="0" fontId="3" fillId="0" borderId="1" xfId="10" applyFont="1" applyBorder="1" applyAlignment="1">
      <alignment horizontal="center" vertical="center" wrapText="1"/>
    </xf>
    <xf numFmtId="0" fontId="3" fillId="0" borderId="19" xfId="1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left" vertical="top"/>
    </xf>
    <xf numFmtId="0" fontId="10" fillId="0" borderId="11" xfId="0" applyFont="1" applyBorder="1" applyAlignment="1">
      <alignment horizontal="center"/>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0" xfId="0" applyFont="1"/>
    <xf numFmtId="0" fontId="3" fillId="0" borderId="13" xfId="0" applyFont="1" applyBorder="1" applyAlignment="1">
      <alignment horizontal="center" vertical="center"/>
    </xf>
    <xf numFmtId="14" fontId="3" fillId="2" borderId="2" xfId="0" applyNumberFormat="1" applyFont="1" applyFill="1" applyBorder="1" applyAlignment="1">
      <alignment horizontal="center" vertical="center" wrapText="1"/>
    </xf>
    <xf numFmtId="0" fontId="3" fillId="0" borderId="0" xfId="0" applyFont="1" applyBorder="1" applyAlignment="1">
      <alignment vertical="center"/>
    </xf>
    <xf numFmtId="0" fontId="11" fillId="4"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xf>
    <xf numFmtId="0" fontId="10" fillId="0" borderId="14" xfId="0" applyFont="1" applyBorder="1" applyAlignment="1">
      <alignment horizontal="center"/>
    </xf>
    <xf numFmtId="44" fontId="10" fillId="0" borderId="2" xfId="1" applyFont="1" applyFill="1" applyBorder="1" applyAlignment="1">
      <alignment horizontal="left" vertical="center"/>
    </xf>
    <xf numFmtId="44" fontId="10" fillId="0" borderId="0" xfId="1" applyFont="1" applyFill="1" applyBorder="1" applyAlignment="1">
      <alignment horizontal="left" vertical="center"/>
    </xf>
    <xf numFmtId="44" fontId="10" fillId="0" borderId="7" xfId="1" applyFont="1" applyFill="1" applyBorder="1" applyAlignment="1">
      <alignment horizontal="left" vertical="center"/>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31"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3" fillId="0" borderId="0" xfId="0" applyFont="1" applyAlignment="1">
      <alignment horizontal="left" vertical="top" wrapText="1"/>
    </xf>
    <xf numFmtId="0" fontId="3" fillId="0" borderId="17" xfId="0" applyFont="1" applyFill="1" applyBorder="1" applyAlignment="1">
      <alignment horizontal="center" vertical="center" wrapText="1"/>
    </xf>
    <xf numFmtId="0" fontId="3" fillId="0" borderId="4" xfId="0" applyFont="1" applyBorder="1" applyAlignment="1">
      <alignment horizontal="center" vertical="center" wrapText="1"/>
    </xf>
    <xf numFmtId="44" fontId="3" fillId="0" borderId="8" xfId="2" applyNumberFormat="1" applyFont="1" applyFill="1" applyBorder="1" applyAlignment="1">
      <alignment horizontal="left" vertical="center" wrapText="1"/>
    </xf>
    <xf numFmtId="0" fontId="3" fillId="0" borderId="4" xfId="0" applyFont="1" applyBorder="1" applyAlignment="1">
      <alignment horizontal="center" vertical="center"/>
    </xf>
    <xf numFmtId="0" fontId="3" fillId="0" borderId="17" xfId="5" applyFont="1" applyFill="1" applyBorder="1" applyAlignment="1">
      <alignment horizontal="center" vertical="center" wrapText="1"/>
    </xf>
    <xf numFmtId="0" fontId="3" fillId="3" borderId="17" xfId="5" applyFont="1" applyFill="1" applyBorder="1" applyAlignment="1">
      <alignment horizontal="center" vertical="center" wrapText="1"/>
    </xf>
    <xf numFmtId="0" fontId="10" fillId="3" borderId="4" xfId="0" applyFont="1" applyFill="1" applyBorder="1" applyAlignment="1">
      <alignment horizontal="right" vertical="top" wrapText="1"/>
    </xf>
    <xf numFmtId="0" fontId="10" fillId="3" borderId="4" xfId="0" applyFont="1" applyFill="1" applyBorder="1" applyAlignment="1">
      <alignment horizontal="center" vertical="center"/>
    </xf>
    <xf numFmtId="44" fontId="3" fillId="3" borderId="4" xfId="0" applyNumberFormat="1" applyFont="1" applyFill="1" applyBorder="1" applyAlignment="1">
      <alignment horizontal="left" vertical="center"/>
    </xf>
    <xf numFmtId="44" fontId="3" fillId="3" borderId="4" xfId="0" applyNumberFormat="1" applyFont="1" applyFill="1" applyBorder="1" applyAlignment="1">
      <alignment horizontal="left" vertical="center" wrapText="1"/>
    </xf>
    <xf numFmtId="44" fontId="3" fillId="3" borderId="4"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3" borderId="17" xfId="0" applyFont="1" applyFill="1" applyBorder="1" applyAlignment="1">
      <alignment horizontal="center" vertical="center"/>
    </xf>
    <xf numFmtId="44" fontId="3" fillId="3" borderId="4" xfId="0" applyNumberFormat="1" applyFont="1" applyFill="1" applyBorder="1" applyAlignment="1">
      <alignment horizontal="center" vertical="center"/>
    </xf>
    <xf numFmtId="0" fontId="3" fillId="0" borderId="4" xfId="5" applyFont="1" applyFill="1" applyBorder="1" applyAlignment="1">
      <alignment vertical="top" wrapText="1"/>
    </xf>
    <xf numFmtId="44" fontId="3" fillId="0"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4" xfId="5" applyFont="1" applyBorder="1" applyAlignment="1">
      <alignment vertical="top" wrapText="1"/>
    </xf>
    <xf numFmtId="44" fontId="3" fillId="0" borderId="4" xfId="0" applyNumberFormat="1" applyFont="1" applyBorder="1" applyAlignment="1">
      <alignment horizontal="center" vertical="center" wrapText="1"/>
    </xf>
    <xf numFmtId="44" fontId="3" fillId="0" borderId="4" xfId="2" applyNumberFormat="1" applyFont="1" applyBorder="1" applyAlignment="1">
      <alignment horizontal="center" vertical="center" wrapText="1"/>
    </xf>
    <xf numFmtId="0" fontId="3" fillId="0" borderId="17" xfId="5"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5" applyFont="1" applyBorder="1" applyAlignment="1">
      <alignment vertical="top" wrapText="1"/>
    </xf>
    <xf numFmtId="0" fontId="3" fillId="0" borderId="5" xfId="0" applyFont="1" applyBorder="1" applyAlignment="1">
      <alignment horizontal="center" vertical="center"/>
    </xf>
    <xf numFmtId="44" fontId="3" fillId="0" borderId="5" xfId="0" applyNumberFormat="1" applyFont="1" applyBorder="1" applyAlignment="1">
      <alignment horizontal="center" vertical="center" wrapText="1"/>
    </xf>
    <xf numFmtId="44" fontId="3" fillId="3" borderId="5" xfId="0" applyNumberFormat="1" applyFont="1" applyFill="1" applyBorder="1" applyAlignment="1">
      <alignment horizontal="center" vertical="center" wrapText="1"/>
    </xf>
    <xf numFmtId="44" fontId="3" fillId="0" borderId="5" xfId="2"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5" applyFont="1" applyBorder="1" applyAlignment="1">
      <alignment vertical="top" wrapText="1"/>
    </xf>
    <xf numFmtId="44" fontId="3" fillId="0" borderId="22" xfId="0" applyNumberFormat="1" applyFont="1" applyBorder="1" applyAlignment="1">
      <alignment vertical="center" wrapText="1"/>
    </xf>
    <xf numFmtId="44" fontId="3" fillId="0" borderId="22" xfId="2" applyNumberFormat="1" applyFont="1" applyBorder="1" applyAlignment="1">
      <alignment vertical="center" wrapText="1"/>
    </xf>
    <xf numFmtId="0" fontId="3" fillId="0" borderId="27" xfId="0" applyFont="1" applyBorder="1" applyAlignment="1">
      <alignment vertical="center" wrapText="1"/>
    </xf>
    <xf numFmtId="0" fontId="3" fillId="0" borderId="5" xfId="0" applyFont="1" applyBorder="1" applyAlignment="1">
      <alignment vertical="center"/>
    </xf>
    <xf numFmtId="44" fontId="3" fillId="0" borderId="5" xfId="0" applyNumberFormat="1" applyFont="1" applyBorder="1" applyAlignment="1">
      <alignment vertical="center" wrapText="1"/>
    </xf>
    <xf numFmtId="44" fontId="3" fillId="0" borderId="5" xfId="2" applyNumberFormat="1" applyFont="1" applyBorder="1" applyAlignment="1">
      <alignment vertical="center" wrapText="1"/>
    </xf>
    <xf numFmtId="0" fontId="3" fillId="0" borderId="4" xfId="0" applyFont="1" applyBorder="1" applyAlignment="1">
      <alignment vertical="top" wrapText="1"/>
    </xf>
    <xf numFmtId="44" fontId="3" fillId="0" borderId="4" xfId="1" applyNumberFormat="1" applyFont="1" applyBorder="1" applyAlignment="1">
      <alignment horizontal="center" vertical="center" wrapText="1"/>
    </xf>
    <xf numFmtId="44" fontId="3" fillId="3" borderId="4" xfId="1" applyNumberFormat="1" applyFont="1" applyFill="1" applyBorder="1" applyAlignment="1">
      <alignment horizontal="center" vertical="center" wrapText="1"/>
    </xf>
    <xf numFmtId="0" fontId="3" fillId="0" borderId="0" xfId="0" applyFont="1" applyBorder="1" applyAlignment="1">
      <alignment vertical="top" wrapText="1"/>
    </xf>
    <xf numFmtId="0" fontId="3" fillId="0" borderId="0" xfId="0" applyFont="1" applyAlignment="1">
      <alignment wrapText="1"/>
    </xf>
    <xf numFmtId="0" fontId="10" fillId="0" borderId="4" xfId="0" applyFont="1" applyBorder="1" applyAlignment="1">
      <alignment vertical="top" wrapText="1"/>
    </xf>
    <xf numFmtId="0" fontId="3" fillId="0" borderId="17" xfId="0" applyFont="1" applyBorder="1" applyAlignment="1">
      <alignment horizontal="center" vertical="center"/>
    </xf>
    <xf numFmtId="0" fontId="10" fillId="0" borderId="4" xfId="0" applyFont="1" applyBorder="1" applyAlignment="1">
      <alignment horizontal="center" vertical="center"/>
    </xf>
    <xf numFmtId="0" fontId="3" fillId="0" borderId="17" xfId="0" applyFont="1" applyFill="1" applyBorder="1" applyAlignment="1">
      <alignment horizontal="center" vertical="center"/>
    </xf>
    <xf numFmtId="0" fontId="10" fillId="0" borderId="4" xfId="0" applyFont="1" applyFill="1" applyBorder="1" applyAlignment="1">
      <alignment horizontal="right" vertical="top" wrapText="1"/>
    </xf>
    <xf numFmtId="0" fontId="10" fillId="0" borderId="4" xfId="0" applyFont="1" applyFill="1" applyBorder="1" applyAlignment="1">
      <alignment horizontal="center" vertical="center"/>
    </xf>
    <xf numFmtId="44" fontId="3" fillId="0" borderId="4" xfId="0" applyNumberFormat="1" applyFont="1" applyFill="1" applyBorder="1" applyAlignment="1">
      <alignment horizontal="center" vertical="center"/>
    </xf>
    <xf numFmtId="0" fontId="3" fillId="0" borderId="0" xfId="0" applyFont="1" applyFill="1"/>
    <xf numFmtId="0" fontId="10" fillId="0" borderId="4" xfId="5" applyFont="1" applyBorder="1" applyAlignment="1">
      <alignment horizontal="right" vertical="top" wrapText="1"/>
    </xf>
    <xf numFmtId="44" fontId="3" fillId="0" borderId="4" xfId="0" applyNumberFormat="1" applyFont="1" applyBorder="1" applyAlignment="1">
      <alignment horizontal="center" vertical="center"/>
    </xf>
    <xf numFmtId="0" fontId="3" fillId="5" borderId="15" xfId="0" applyFont="1" applyFill="1" applyBorder="1" applyAlignment="1">
      <alignment horizontal="center" vertical="center"/>
    </xf>
    <xf numFmtId="0" fontId="10" fillId="5" borderId="1" xfId="0" applyFont="1" applyFill="1" applyBorder="1" applyAlignment="1">
      <alignment horizontal="right" vertical="top" wrapText="1"/>
    </xf>
    <xf numFmtId="0" fontId="10" fillId="5" borderId="1" xfId="0" applyFont="1" applyFill="1" applyBorder="1" applyAlignment="1">
      <alignment horizontal="center" vertical="center"/>
    </xf>
    <xf numFmtId="44" fontId="3" fillId="5"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top"/>
    </xf>
    <xf numFmtId="0" fontId="10"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vertical="top" wrapText="1"/>
    </xf>
    <xf numFmtId="44" fontId="3" fillId="0" borderId="0" xfId="0" applyNumberFormat="1" applyFont="1" applyAlignment="1">
      <alignment horizontal="center" vertical="center"/>
    </xf>
    <xf numFmtId="0" fontId="3" fillId="0" borderId="0" xfId="0" applyFont="1" applyAlignment="1">
      <alignment horizontal="center" vertical="top"/>
    </xf>
    <xf numFmtId="0" fontId="10" fillId="0" borderId="0" xfId="0" applyFont="1" applyAlignment="1">
      <alignment horizontal="center"/>
    </xf>
    <xf numFmtId="0" fontId="3" fillId="0" borderId="4" xfId="0" applyFont="1" applyFill="1" applyBorder="1" applyAlignment="1">
      <alignment horizontal="center" vertical="center"/>
    </xf>
    <xf numFmtId="44" fontId="3" fillId="0" borderId="22" xfId="0" applyNumberFormat="1" applyFont="1" applyFill="1" applyBorder="1" applyAlignment="1">
      <alignment vertical="center" wrapText="1"/>
    </xf>
    <xf numFmtId="44" fontId="3" fillId="0" borderId="39" xfId="2" applyNumberFormat="1" applyFont="1" applyFill="1" applyBorder="1" applyAlignment="1">
      <alignment horizontal="left" vertical="center" wrapText="1"/>
    </xf>
    <xf numFmtId="44" fontId="3" fillId="0" borderId="39" xfId="2" applyNumberFormat="1" applyFont="1" applyFill="1" applyBorder="1" applyAlignment="1">
      <alignment horizontal="center" vertical="center" wrapText="1"/>
    </xf>
    <xf numFmtId="44" fontId="3" fillId="3" borderId="39" xfId="0" applyNumberFormat="1" applyFont="1" applyFill="1" applyBorder="1" applyAlignment="1">
      <alignment horizontal="center" vertical="center"/>
    </xf>
    <xf numFmtId="44" fontId="3" fillId="0" borderId="39" xfId="0" applyNumberFormat="1" applyFont="1" applyBorder="1" applyAlignment="1">
      <alignment horizontal="center" vertical="center" wrapText="1"/>
    </xf>
    <xf numFmtId="44" fontId="3" fillId="0" borderId="57" xfId="0" applyNumberFormat="1" applyFont="1" applyBorder="1" applyAlignment="1">
      <alignment vertical="center" wrapText="1"/>
    </xf>
    <xf numFmtId="44" fontId="3" fillId="0" borderId="20" xfId="0" applyNumberFormat="1" applyFont="1" applyBorder="1" applyAlignment="1">
      <alignment vertical="center" wrapText="1"/>
    </xf>
    <xf numFmtId="44" fontId="3" fillId="0" borderId="39" xfId="1" applyNumberFormat="1" applyFont="1" applyBorder="1" applyAlignment="1">
      <alignment horizontal="center" vertical="center" wrapText="1"/>
    </xf>
    <xf numFmtId="44" fontId="3" fillId="0" borderId="39" xfId="0" applyNumberFormat="1" applyFont="1" applyFill="1" applyBorder="1" applyAlignment="1">
      <alignment horizontal="center" vertical="center"/>
    </xf>
    <xf numFmtId="44" fontId="3" fillId="5" borderId="36" xfId="0" applyNumberFormat="1" applyFont="1" applyFill="1" applyBorder="1" applyAlignment="1">
      <alignment horizontal="center" vertical="center"/>
    </xf>
    <xf numFmtId="0" fontId="3" fillId="0" borderId="0" xfId="0" applyFont="1" applyAlignment="1">
      <alignment horizontal="right" vertical="center"/>
    </xf>
    <xf numFmtId="44" fontId="3" fillId="0" borderId="39" xfId="1" applyNumberFormat="1" applyFont="1" applyFill="1" applyBorder="1" applyAlignment="1">
      <alignment horizontal="center" vertical="center" wrapText="1"/>
    </xf>
    <xf numFmtId="0" fontId="10" fillId="0" borderId="4" xfId="0" applyFont="1" applyFill="1" applyBorder="1" applyAlignment="1">
      <alignment vertical="top" wrapText="1"/>
    </xf>
    <xf numFmtId="0" fontId="3" fillId="0" borderId="14" xfId="0" applyFont="1" applyBorder="1" applyAlignment="1">
      <alignment horizontal="center" vertical="center"/>
    </xf>
    <xf numFmtId="44" fontId="3" fillId="0" borderId="5" xfId="2" applyNumberFormat="1" applyFont="1" applyFill="1" applyBorder="1" applyAlignment="1">
      <alignment horizontal="center" vertical="center" wrapText="1"/>
    </xf>
    <xf numFmtId="44" fontId="3" fillId="0" borderId="22" xfId="2" applyNumberFormat="1" applyFont="1" applyFill="1" applyBorder="1" applyAlignment="1">
      <alignment vertical="center" wrapText="1"/>
    </xf>
    <xf numFmtId="44" fontId="3" fillId="0" borderId="5" xfId="0" applyNumberFormat="1" applyFont="1" applyFill="1" applyBorder="1" applyAlignment="1">
      <alignment horizontal="center" vertical="center" wrapText="1"/>
    </xf>
    <xf numFmtId="44" fontId="3" fillId="0" borderId="4" xfId="1" applyNumberFormat="1" applyFont="1" applyFill="1" applyBorder="1" applyAlignment="1">
      <alignment horizontal="center" vertical="center" wrapText="1"/>
    </xf>
    <xf numFmtId="0" fontId="3" fillId="0" borderId="4" xfId="0" applyFont="1" applyFill="1" applyBorder="1" applyAlignment="1">
      <alignment vertical="top" wrapText="1"/>
    </xf>
    <xf numFmtId="44" fontId="3" fillId="0" borderId="20" xfId="0" applyNumberFormat="1" applyFont="1" applyFill="1" applyBorder="1" applyAlignment="1">
      <alignment horizontal="center" vertical="center" wrapText="1"/>
    </xf>
    <xf numFmtId="0" fontId="3" fillId="0" borderId="5" xfId="6" applyFont="1" applyFill="1" applyBorder="1" applyAlignment="1">
      <alignment horizontal="left" vertical="top" wrapText="1"/>
    </xf>
    <xf numFmtId="0" fontId="3" fillId="0" borderId="5" xfId="0" applyFont="1" applyBorder="1" applyAlignment="1">
      <alignment horizontal="center" vertical="center" wrapText="1"/>
    </xf>
    <xf numFmtId="44" fontId="3" fillId="0" borderId="58" xfId="2" applyNumberFormat="1" applyFont="1" applyFill="1" applyBorder="1" applyAlignment="1">
      <alignment horizontal="left" vertical="center" wrapText="1"/>
    </xf>
    <xf numFmtId="44" fontId="3" fillId="3" borderId="5" xfId="2" applyNumberFormat="1" applyFont="1" applyFill="1" applyBorder="1" applyAlignment="1">
      <alignment horizontal="left" vertical="center" wrapText="1"/>
    </xf>
    <xf numFmtId="44" fontId="3" fillId="0" borderId="5" xfId="2" applyNumberFormat="1" applyFont="1" applyFill="1" applyBorder="1" applyAlignment="1">
      <alignment horizontal="left" vertical="center" wrapText="1"/>
    </xf>
    <xf numFmtId="44" fontId="3" fillId="0" borderId="20" xfId="2" applyNumberFormat="1"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46" xfId="0" applyFont="1" applyBorder="1" applyAlignment="1">
      <alignment horizontal="center" vertical="center" wrapText="1"/>
    </xf>
    <xf numFmtId="44" fontId="3" fillId="3" borderId="46" xfId="2" applyNumberFormat="1" applyFont="1" applyFill="1" applyBorder="1" applyAlignment="1">
      <alignment horizontal="left" vertical="center" wrapText="1"/>
    </xf>
    <xf numFmtId="44" fontId="3" fillId="0" borderId="46" xfId="2" applyNumberFormat="1" applyFont="1" applyFill="1" applyBorder="1" applyAlignment="1">
      <alignment horizontal="left" vertical="center" wrapText="1"/>
    </xf>
    <xf numFmtId="44" fontId="3" fillId="0" borderId="60" xfId="2" applyNumberFormat="1" applyFont="1" applyFill="1" applyBorder="1" applyAlignment="1">
      <alignment horizontal="left" vertical="center" wrapText="1"/>
    </xf>
    <xf numFmtId="44" fontId="3" fillId="0" borderId="49" xfId="2" applyNumberFormat="1" applyFont="1" applyFill="1" applyBorder="1" applyAlignment="1">
      <alignment horizontal="left" vertical="center" wrapText="1"/>
    </xf>
    <xf numFmtId="44" fontId="3" fillId="3" borderId="49" xfId="2" applyNumberFormat="1" applyFont="1" applyFill="1" applyBorder="1" applyAlignment="1">
      <alignment horizontal="left" vertical="center" wrapText="1"/>
    </xf>
    <xf numFmtId="0" fontId="3" fillId="0" borderId="49" xfId="6" applyFont="1" applyFill="1" applyBorder="1" applyAlignment="1">
      <alignment horizontal="left" vertical="top" wrapText="1"/>
    </xf>
    <xf numFmtId="0" fontId="3" fillId="0" borderId="46" xfId="6" applyFont="1" applyFill="1" applyBorder="1" applyAlignment="1">
      <alignment horizontal="left" vertical="top" wrapText="1"/>
    </xf>
    <xf numFmtId="44" fontId="3" fillId="0" borderId="59" xfId="2" applyNumberFormat="1" applyFont="1" applyFill="1" applyBorder="1" applyAlignment="1">
      <alignment horizontal="left" vertical="center" wrapText="1"/>
    </xf>
    <xf numFmtId="44" fontId="3" fillId="0" borderId="14" xfId="2" applyNumberFormat="1" applyFont="1" applyFill="1" applyBorder="1" applyAlignment="1">
      <alignment horizontal="left" vertical="center" wrapText="1"/>
    </xf>
    <xf numFmtId="44" fontId="3" fillId="0" borderId="22" xfId="2" applyNumberFormat="1" applyFont="1" applyFill="1" applyBorder="1" applyAlignment="1">
      <alignment horizontal="left" vertical="center" wrapText="1"/>
    </xf>
    <xf numFmtId="44" fontId="3" fillId="0" borderId="61" xfId="2" applyNumberFormat="1" applyFont="1" applyFill="1" applyBorder="1" applyAlignment="1">
      <alignment horizontal="left" vertical="center" wrapText="1"/>
    </xf>
    <xf numFmtId="44" fontId="3" fillId="3" borderId="22" xfId="2" applyNumberFormat="1" applyFont="1" applyFill="1" applyBorder="1" applyAlignment="1">
      <alignment horizontal="left" vertical="center" wrapText="1"/>
    </xf>
    <xf numFmtId="0" fontId="3" fillId="0" borderId="22" xfId="0" applyFont="1" applyBorder="1" applyAlignment="1">
      <alignment horizontal="center" vertical="center" wrapText="1"/>
    </xf>
    <xf numFmtId="43" fontId="18" fillId="0" borderId="0" xfId="11" applyFont="1" applyAlignment="1">
      <alignment horizontal="center" vertical="center"/>
    </xf>
    <xf numFmtId="44" fontId="3" fillId="0" borderId="57" xfId="2" applyNumberFormat="1" applyFont="1" applyFill="1" applyBorder="1" applyAlignment="1">
      <alignment horizontal="left" vertical="center" wrapText="1"/>
    </xf>
    <xf numFmtId="43" fontId="3" fillId="0" borderId="0" xfId="11" applyFont="1" applyAlignment="1">
      <alignment horizontal="center" vertical="center"/>
    </xf>
    <xf numFmtId="0" fontId="20" fillId="0" borderId="0" xfId="9" applyFont="1"/>
    <xf numFmtId="0" fontId="10" fillId="3" borderId="24" xfId="9" applyFont="1" applyFill="1" applyBorder="1" applyAlignment="1">
      <alignment horizontal="center" vertical="center" wrapText="1"/>
    </xf>
    <xf numFmtId="0" fontId="3" fillId="0" borderId="4" xfId="9" applyFont="1" applyBorder="1" applyAlignment="1">
      <alignment horizontal="center" vertical="center" wrapText="1"/>
    </xf>
    <xf numFmtId="0" fontId="3" fillId="0" borderId="0" xfId="9" applyFont="1" applyAlignment="1">
      <alignment wrapText="1"/>
    </xf>
    <xf numFmtId="0" fontId="3" fillId="0" borderId="15" xfId="9" applyFont="1" applyBorder="1" applyAlignment="1">
      <alignment vertical="center" wrapText="1"/>
    </xf>
    <xf numFmtId="0" fontId="3" fillId="0" borderId="1" xfId="9" applyFont="1" applyBorder="1" applyAlignment="1">
      <alignment vertical="center"/>
    </xf>
    <xf numFmtId="0" fontId="3" fillId="0" borderId="0" xfId="9" applyFont="1"/>
    <xf numFmtId="0" fontId="3" fillId="0" borderId="27" xfId="9" applyFont="1" applyBorder="1" applyAlignment="1">
      <alignment vertical="center" wrapText="1"/>
    </xf>
    <xf numFmtId="0" fontId="3" fillId="0" borderId="5" xfId="9" applyFont="1" applyBorder="1" applyAlignment="1">
      <alignment vertical="center"/>
    </xf>
    <xf numFmtId="0" fontId="3" fillId="0" borderId="17" xfId="9" applyFont="1" applyBorder="1" applyAlignment="1">
      <alignment vertical="center" wrapText="1"/>
    </xf>
    <xf numFmtId="0" fontId="3" fillId="0" borderId="17" xfId="9" applyFont="1" applyBorder="1" applyAlignment="1">
      <alignment horizontal="left" vertical="center"/>
    </xf>
    <xf numFmtId="0" fontId="3" fillId="0" borderId="0" xfId="9" applyFont="1" applyAlignment="1">
      <alignment horizontal="left" wrapText="1"/>
    </xf>
    <xf numFmtId="0" fontId="3" fillId="0" borderId="1" xfId="9" applyFont="1" applyBorder="1" applyAlignment="1">
      <alignment horizontal="center" vertical="center" wrapText="1"/>
    </xf>
    <xf numFmtId="0" fontId="3" fillId="0" borderId="0" xfId="9" applyFont="1" applyAlignment="1"/>
    <xf numFmtId="0" fontId="20" fillId="0" borderId="0" xfId="9" applyFont="1" applyAlignment="1"/>
    <xf numFmtId="0" fontId="3" fillId="0" borderId="0" xfId="9" applyFont="1" applyAlignment="1">
      <alignment vertical="center"/>
    </xf>
    <xf numFmtId="0" fontId="3" fillId="0" borderId="0" xfId="9" applyFont="1" applyAlignment="1">
      <alignment vertical="top"/>
    </xf>
    <xf numFmtId="0" fontId="3" fillId="0" borderId="15" xfId="9" applyFont="1" applyBorder="1" applyAlignment="1">
      <alignment horizontal="center" vertical="center" wrapText="1"/>
    </xf>
    <xf numFmtId="0" fontId="3" fillId="0" borderId="1" xfId="9" applyFont="1" applyBorder="1" applyAlignment="1">
      <alignment horizontal="center" vertical="top" wrapText="1"/>
    </xf>
    <xf numFmtId="17" fontId="3" fillId="0" borderId="1" xfId="9" applyNumberFormat="1" applyFont="1" applyBorder="1" applyAlignment="1">
      <alignment horizontal="center" vertical="center"/>
    </xf>
    <xf numFmtId="0" fontId="3" fillId="0" borderId="1" xfId="9" applyFont="1" applyBorder="1" applyAlignment="1">
      <alignment vertical="top" wrapText="1"/>
    </xf>
    <xf numFmtId="0" fontId="3" fillId="0" borderId="45" xfId="9" applyFont="1" applyBorder="1" applyAlignment="1">
      <alignment vertical="center" wrapText="1"/>
    </xf>
    <xf numFmtId="0" fontId="3" fillId="0" borderId="46" xfId="9" applyFont="1" applyBorder="1" applyAlignment="1">
      <alignment vertical="top" wrapText="1"/>
    </xf>
    <xf numFmtId="0" fontId="3" fillId="0" borderId="46" xfId="9" applyFont="1" applyBorder="1" applyAlignment="1">
      <alignment vertical="center" wrapText="1"/>
    </xf>
    <xf numFmtId="0" fontId="3" fillId="0" borderId="54" xfId="9" applyFont="1" applyBorder="1" applyAlignment="1">
      <alignment horizontal="left" vertical="center" wrapText="1"/>
    </xf>
    <xf numFmtId="0" fontId="3" fillId="0" borderId="3" xfId="9" applyFont="1" applyBorder="1" applyAlignment="1">
      <alignment vertical="top" wrapText="1"/>
    </xf>
    <xf numFmtId="0" fontId="3" fillId="0" borderId="17" xfId="9" applyFont="1" applyBorder="1" applyAlignment="1">
      <alignment vertical="top" wrapText="1"/>
    </xf>
    <xf numFmtId="0" fontId="3" fillId="0" borderId="4" xfId="9" applyFont="1" applyBorder="1" applyAlignment="1">
      <alignment vertical="top" wrapText="1"/>
    </xf>
    <xf numFmtId="0" fontId="3" fillId="8" borderId="18" xfId="9" applyFont="1" applyFill="1" applyBorder="1" applyAlignment="1">
      <alignment horizontal="center" vertical="top" wrapText="1"/>
    </xf>
    <xf numFmtId="0" fontId="3" fillId="8" borderId="15" xfId="9" applyFont="1" applyFill="1" applyBorder="1" applyAlignment="1">
      <alignment horizontal="left" vertical="center" wrapText="1"/>
    </xf>
    <xf numFmtId="0" fontId="3" fillId="0" borderId="31" xfId="9" applyFont="1" applyBorder="1" applyAlignment="1">
      <alignment vertical="top" wrapText="1"/>
    </xf>
    <xf numFmtId="0" fontId="10" fillId="0" borderId="15" xfId="9" applyFont="1" applyBorder="1" applyAlignment="1">
      <alignment vertical="center" wrapText="1"/>
    </xf>
    <xf numFmtId="0" fontId="3" fillId="0" borderId="19" xfId="9" applyFont="1" applyFill="1" applyBorder="1" applyAlignment="1">
      <alignment horizontal="center" vertical="center" wrapText="1"/>
    </xf>
    <xf numFmtId="0" fontId="10" fillId="0" borderId="45" xfId="9" applyFont="1" applyBorder="1" applyAlignment="1">
      <alignment vertical="center" wrapText="1"/>
    </xf>
    <xf numFmtId="0" fontId="10" fillId="0" borderId="54" xfId="9" applyFont="1" applyBorder="1" applyAlignment="1">
      <alignment vertical="center" wrapText="1"/>
    </xf>
    <xf numFmtId="0" fontId="3" fillId="0" borderId="47" xfId="9" applyFont="1" applyFill="1" applyBorder="1" applyAlignment="1">
      <alignment vertical="center" wrapText="1"/>
    </xf>
    <xf numFmtId="0" fontId="10" fillId="0" borderId="54" xfId="9" applyFont="1" applyBorder="1" applyAlignment="1">
      <alignment horizontal="left" vertical="center" wrapText="1"/>
    </xf>
    <xf numFmtId="0" fontId="3" fillId="0" borderId="3" xfId="9" applyFont="1" applyFill="1" applyBorder="1" applyAlignment="1">
      <alignment horizontal="left" vertical="top" wrapText="1"/>
    </xf>
    <xf numFmtId="0" fontId="3" fillId="0" borderId="16" xfId="9" applyFont="1" applyFill="1" applyBorder="1" applyAlignment="1">
      <alignment horizontal="center" vertical="center" wrapText="1"/>
    </xf>
    <xf numFmtId="0" fontId="3" fillId="0" borderId="22" xfId="9" applyFont="1" applyBorder="1" applyAlignment="1">
      <alignment vertical="top" wrapText="1"/>
    </xf>
    <xf numFmtId="0" fontId="3" fillId="0" borderId="23" xfId="9" applyFont="1" applyBorder="1" applyAlignment="1">
      <alignment horizontal="center" vertical="center" wrapText="1"/>
    </xf>
    <xf numFmtId="0" fontId="3" fillId="0" borderId="0" xfId="9" applyFont="1" applyAlignment="1">
      <alignment vertical="center" wrapText="1"/>
    </xf>
    <xf numFmtId="0" fontId="3" fillId="0" borderId="3" xfId="9" applyFont="1" applyFill="1" applyBorder="1" applyAlignment="1">
      <alignment vertical="top" wrapText="1"/>
    </xf>
    <xf numFmtId="0" fontId="3" fillId="0" borderId="3" xfId="9" applyFont="1" applyBorder="1" applyAlignment="1">
      <alignment vertical="center" wrapText="1"/>
    </xf>
    <xf numFmtId="0" fontId="3" fillId="0" borderId="16" xfId="9" applyFont="1" applyBorder="1" applyAlignment="1">
      <alignment vertical="center" wrapText="1"/>
    </xf>
    <xf numFmtId="0" fontId="3" fillId="0" borderId="28" xfId="9" applyFont="1" applyBorder="1" applyAlignment="1">
      <alignment horizontal="left" vertical="center" wrapText="1"/>
    </xf>
    <xf numFmtId="0" fontId="3" fillId="0" borderId="29" xfId="9" applyFont="1" applyFill="1" applyBorder="1" applyAlignment="1">
      <alignment vertical="top" wrapText="1"/>
    </xf>
    <xf numFmtId="0" fontId="3" fillId="0" borderId="29" xfId="9" applyFont="1" applyBorder="1" applyAlignment="1">
      <alignment horizontal="center" vertical="center" wrapText="1"/>
    </xf>
    <xf numFmtId="0" fontId="3" fillId="0" borderId="30" xfId="9" applyFont="1" applyBorder="1" applyAlignment="1">
      <alignment horizontal="center" vertical="center" wrapText="1"/>
    </xf>
    <xf numFmtId="0" fontId="3" fillId="0" borderId="21" xfId="9" applyFont="1" applyBorder="1" applyAlignment="1">
      <alignment vertical="top" wrapText="1"/>
    </xf>
    <xf numFmtId="0" fontId="3" fillId="0" borderId="48" xfId="9" applyFont="1" applyBorder="1" applyAlignment="1">
      <alignment vertical="top" wrapText="1"/>
    </xf>
    <xf numFmtId="0" fontId="3" fillId="0" borderId="49" xfId="9" applyFont="1" applyBorder="1" applyAlignment="1">
      <alignment vertical="top" wrapText="1"/>
    </xf>
    <xf numFmtId="0" fontId="3" fillId="0" borderId="54" xfId="9" applyFont="1" applyBorder="1" applyAlignment="1">
      <alignment vertical="top" wrapText="1"/>
    </xf>
    <xf numFmtId="0" fontId="3" fillId="0" borderId="45" xfId="9" applyFont="1" applyBorder="1" applyAlignment="1">
      <alignment vertical="top" wrapText="1"/>
    </xf>
    <xf numFmtId="0" fontId="3" fillId="0" borderId="4" xfId="9" applyFont="1" applyFill="1" applyBorder="1" applyAlignment="1">
      <alignment vertical="top" wrapText="1"/>
    </xf>
    <xf numFmtId="0" fontId="3" fillId="0" borderId="18" xfId="9" applyFont="1" applyBorder="1" applyAlignment="1">
      <alignment horizontal="center" vertical="center" wrapText="1"/>
    </xf>
    <xf numFmtId="0" fontId="3" fillId="0" borderId="28" xfId="9" applyFont="1" applyBorder="1" applyAlignment="1">
      <alignment vertical="center" wrapText="1"/>
    </xf>
    <xf numFmtId="0" fontId="3" fillId="0" borderId="29" xfId="9" applyFont="1" applyBorder="1" applyAlignment="1">
      <alignment vertical="top" wrapText="1"/>
    </xf>
    <xf numFmtId="0" fontId="3" fillId="0" borderId="15" xfId="9" applyFont="1" applyBorder="1" applyAlignment="1">
      <alignment vertical="top" wrapText="1"/>
    </xf>
    <xf numFmtId="17" fontId="3" fillId="0" borderId="1" xfId="9" applyNumberFormat="1" applyFont="1" applyBorder="1" applyAlignment="1">
      <alignment horizontal="center" vertical="center" wrapText="1"/>
    </xf>
    <xf numFmtId="0" fontId="3" fillId="0" borderId="47" xfId="9" applyFont="1" applyBorder="1" applyAlignment="1">
      <alignment horizontal="center" vertical="center" wrapText="1"/>
    </xf>
    <xf numFmtId="0" fontId="3" fillId="0" borderId="46" xfId="9" applyFont="1" applyBorder="1" applyAlignment="1">
      <alignment horizontal="center" vertical="center" wrapText="1"/>
    </xf>
    <xf numFmtId="14" fontId="3" fillId="0" borderId="45" xfId="9" applyNumberFormat="1" applyFont="1" applyBorder="1" applyAlignment="1">
      <alignment vertical="top" wrapText="1"/>
    </xf>
    <xf numFmtId="14" fontId="3" fillId="0" borderId="54" xfId="9" applyNumberFormat="1" applyFont="1" applyBorder="1" applyAlignment="1">
      <alignment vertical="top" wrapText="1"/>
    </xf>
    <xf numFmtId="0" fontId="3" fillId="0" borderId="5" xfId="0" applyFont="1" applyFill="1" applyBorder="1" applyAlignment="1">
      <alignment horizontal="center" vertical="center" wrapText="1"/>
    </xf>
    <xf numFmtId="0" fontId="3" fillId="0" borderId="0" xfId="0" applyFont="1" applyFill="1" applyAlignment="1">
      <alignment horizontal="left" vertical="top" wrapText="1"/>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22" xfId="13" applyFont="1" applyFill="1" applyBorder="1" applyAlignment="1">
      <alignment horizontal="left" vertical="top" wrapText="1"/>
    </xf>
    <xf numFmtId="0" fontId="3" fillId="0" borderId="5" xfId="13" applyFont="1" applyFill="1" applyBorder="1" applyAlignment="1">
      <alignment horizontal="left" vertical="top" wrapText="1"/>
    </xf>
    <xf numFmtId="0" fontId="3" fillId="0" borderId="22" xfId="6" applyFont="1" applyFill="1" applyBorder="1" applyAlignment="1">
      <alignment horizontal="left" vertical="top" wrapText="1"/>
    </xf>
    <xf numFmtId="0" fontId="3" fillId="0" borderId="49" xfId="13" applyFont="1" applyFill="1" applyBorder="1" applyAlignment="1">
      <alignment horizontal="left" vertical="top" wrapText="1"/>
    </xf>
    <xf numFmtId="0" fontId="10" fillId="0" borderId="5" xfId="5" applyFont="1" applyFill="1" applyBorder="1" applyAlignment="1">
      <alignment vertical="top" wrapText="1"/>
    </xf>
    <xf numFmtId="0" fontId="3" fillId="0" borderId="0" xfId="0" applyFont="1" applyBorder="1" applyAlignment="1">
      <alignment horizontal="center" vertical="center"/>
    </xf>
    <xf numFmtId="0" fontId="10" fillId="0" borderId="31" xfId="0" applyFont="1" applyBorder="1" applyAlignment="1">
      <alignment horizontal="center"/>
    </xf>
    <xf numFmtId="0" fontId="3" fillId="8" borderId="21" xfId="0" applyFont="1" applyFill="1" applyBorder="1" applyAlignment="1">
      <alignment horizontal="center" vertical="center" wrapText="1"/>
    </xf>
    <xf numFmtId="0" fontId="3" fillId="8" borderId="22" xfId="0" applyFont="1" applyFill="1" applyBorder="1" applyAlignment="1">
      <alignment horizontal="center" vertical="center"/>
    </xf>
    <xf numFmtId="44" fontId="3" fillId="8" borderId="22" xfId="0" applyNumberFormat="1" applyFont="1" applyFill="1" applyBorder="1" applyAlignment="1">
      <alignment horizontal="center" vertical="center" wrapText="1"/>
    </xf>
    <xf numFmtId="44" fontId="3" fillId="8" borderId="22" xfId="2" applyNumberFormat="1" applyFont="1" applyFill="1" applyBorder="1" applyAlignment="1">
      <alignment horizontal="center" vertical="center" wrapText="1"/>
    </xf>
    <xf numFmtId="44" fontId="3" fillId="8" borderId="57" xfId="0" applyNumberFormat="1" applyFont="1" applyFill="1" applyBorder="1" applyAlignment="1">
      <alignment horizontal="center" vertical="center" wrapText="1"/>
    </xf>
    <xf numFmtId="0" fontId="3" fillId="8" borderId="0" xfId="0" applyFont="1" applyFill="1"/>
    <xf numFmtId="0" fontId="3" fillId="8" borderId="17" xfId="5" applyFont="1" applyFill="1" applyBorder="1" applyAlignment="1">
      <alignment horizontal="center" vertical="center" wrapText="1"/>
    </xf>
    <xf numFmtId="0" fontId="3" fillId="8" borderId="5" xfId="0" applyFont="1" applyFill="1" applyBorder="1" applyAlignment="1">
      <alignment horizontal="center" vertical="center"/>
    </xf>
    <xf numFmtId="44" fontId="3" fillId="8" borderId="5" xfId="0" applyNumberFormat="1" applyFont="1" applyFill="1" applyBorder="1" applyAlignment="1">
      <alignment horizontal="center" vertical="center" wrapText="1"/>
    </xf>
    <xf numFmtId="44" fontId="3" fillId="8" borderId="5" xfId="2" applyNumberFormat="1" applyFont="1" applyFill="1" applyBorder="1" applyAlignment="1">
      <alignment horizontal="center" vertical="center" wrapText="1"/>
    </xf>
    <xf numFmtId="44" fontId="3" fillId="8" borderId="20" xfId="0" applyNumberFormat="1" applyFont="1" applyFill="1" applyBorder="1" applyAlignment="1">
      <alignment horizontal="center" vertical="center" wrapText="1"/>
    </xf>
    <xf numFmtId="14" fontId="3" fillId="0" borderId="48" xfId="9" applyNumberFormat="1" applyFont="1" applyBorder="1" applyAlignment="1">
      <alignment vertical="top" wrapText="1"/>
    </xf>
    <xf numFmtId="0" fontId="3" fillId="0" borderId="50" xfId="9" applyFont="1" applyBorder="1" applyAlignment="1">
      <alignment horizontal="center" vertical="center" wrapText="1"/>
    </xf>
    <xf numFmtId="0" fontId="10" fillId="0" borderId="5" xfId="13" applyFont="1" applyFill="1" applyBorder="1" applyAlignment="1">
      <alignment horizontal="left" vertical="top" wrapText="1"/>
    </xf>
    <xf numFmtId="0" fontId="3" fillId="0" borderId="5" xfId="5" applyFont="1" applyFill="1" applyBorder="1" applyAlignment="1">
      <alignment vertical="top" wrapText="1"/>
    </xf>
    <xf numFmtId="0" fontId="3" fillId="0" borderId="22" xfId="5" applyFont="1" applyFill="1" applyBorder="1" applyAlignment="1">
      <alignment vertical="top" wrapText="1"/>
    </xf>
    <xf numFmtId="44" fontId="3" fillId="0" borderId="20" xfId="0" applyNumberFormat="1" applyFont="1" applyBorder="1" applyAlignment="1">
      <alignment horizontal="center" vertical="center" wrapText="1"/>
    </xf>
    <xf numFmtId="0" fontId="10" fillId="3" borderId="25" xfId="9" applyFont="1" applyFill="1" applyBorder="1" applyAlignment="1">
      <alignment horizontal="center" vertical="center" wrapText="1"/>
    </xf>
    <xf numFmtId="0" fontId="3" fillId="0" borderId="17" xfId="9" applyFont="1" applyBorder="1" applyAlignment="1">
      <alignment horizontal="left" vertical="center" wrapText="1"/>
    </xf>
    <xf numFmtId="0" fontId="3" fillId="0" borderId="15" xfId="9" applyFont="1" applyBorder="1" applyAlignment="1">
      <alignment horizontal="left" vertical="center" wrapText="1"/>
    </xf>
    <xf numFmtId="44" fontId="18" fillId="0" borderId="0" xfId="0" applyNumberFormat="1" applyFont="1" applyAlignment="1">
      <alignment horizontal="center" vertical="center"/>
    </xf>
    <xf numFmtId="4" fontId="3" fillId="0" borderId="0" xfId="0" applyNumberFormat="1" applyFont="1" applyAlignment="1">
      <alignment horizontal="center" vertical="center"/>
    </xf>
    <xf numFmtId="0" fontId="3" fillId="0" borderId="22" xfId="9" applyFont="1" applyBorder="1" applyAlignment="1">
      <alignment horizontal="center" vertical="center" wrapText="1"/>
    </xf>
    <xf numFmtId="0" fontId="3" fillId="0" borderId="49" xfId="9" applyFont="1" applyBorder="1" applyAlignment="1">
      <alignment horizontal="center" vertical="center" wrapText="1"/>
    </xf>
    <xf numFmtId="0" fontId="3" fillId="0" borderId="3" xfId="9" applyFont="1" applyBorder="1" applyAlignment="1">
      <alignment horizontal="center" vertical="center" wrapText="1"/>
    </xf>
    <xf numFmtId="43" fontId="3" fillId="0" borderId="0" xfId="0" applyNumberFormat="1" applyFont="1" applyAlignment="1">
      <alignment horizontal="center" vertical="center"/>
    </xf>
    <xf numFmtId="44" fontId="3" fillId="3" borderId="22" xfId="0" applyNumberFormat="1" applyFont="1" applyFill="1" applyBorder="1" applyAlignment="1">
      <alignment horizontal="center" vertical="center" wrapText="1"/>
    </xf>
    <xf numFmtId="44" fontId="3" fillId="0" borderId="22" xfId="2" applyNumberFormat="1" applyFont="1" applyFill="1" applyBorder="1" applyAlignment="1">
      <alignment horizontal="center" vertical="center" wrapText="1"/>
    </xf>
    <xf numFmtId="0" fontId="3" fillId="0" borderId="27" xfId="5" applyFont="1" applyFill="1" applyBorder="1" applyAlignment="1">
      <alignment horizontal="center" vertical="center" wrapText="1"/>
    </xf>
    <xf numFmtId="0" fontId="3" fillId="0" borderId="22" xfId="0" applyFont="1" applyBorder="1" applyAlignment="1">
      <alignment horizontal="center" vertical="center"/>
    </xf>
    <xf numFmtId="0" fontId="3" fillId="0" borderId="49" xfId="0" applyFont="1" applyBorder="1" applyAlignment="1">
      <alignment horizontal="center" vertical="center"/>
    </xf>
    <xf numFmtId="44" fontId="3" fillId="0" borderId="12" xfId="2" applyNumberFormat="1" applyFont="1" applyFill="1" applyBorder="1" applyAlignment="1">
      <alignment horizontal="left" vertical="center" wrapText="1"/>
    </xf>
    <xf numFmtId="44" fontId="3" fillId="0" borderId="39" xfId="0" applyNumberFormat="1" applyFont="1" applyFill="1" applyBorder="1" applyAlignment="1">
      <alignment horizontal="center" vertical="center" wrapText="1"/>
    </xf>
    <xf numFmtId="44" fontId="3" fillId="0" borderId="18" xfId="2" applyNumberFormat="1" applyFont="1" applyFill="1" applyBorder="1" applyAlignment="1">
      <alignment horizontal="left" vertical="center" wrapText="1"/>
    </xf>
    <xf numFmtId="44" fontId="3" fillId="0" borderId="23" xfId="2" applyNumberFormat="1" applyFont="1" applyFill="1" applyBorder="1" applyAlignment="1">
      <alignment horizontal="left" vertical="center" wrapText="1"/>
    </xf>
    <xf numFmtId="44" fontId="3" fillId="0" borderId="62" xfId="2" applyNumberFormat="1" applyFont="1" applyFill="1" applyBorder="1" applyAlignment="1">
      <alignment horizontal="left" vertical="center" wrapText="1"/>
    </xf>
    <xf numFmtId="44" fontId="3" fillId="3" borderId="18" xfId="0" applyNumberFormat="1" applyFont="1" applyFill="1" applyBorder="1" applyAlignment="1">
      <alignment horizontal="left" vertical="center"/>
    </xf>
    <xf numFmtId="44" fontId="3" fillId="3" borderId="18" xfId="0" applyNumberFormat="1" applyFont="1" applyFill="1" applyBorder="1" applyAlignment="1">
      <alignment horizontal="center" vertical="center"/>
    </xf>
    <xf numFmtId="44" fontId="3" fillId="0" borderId="18" xfId="2" applyNumberFormat="1" applyFont="1" applyFill="1" applyBorder="1" applyAlignment="1">
      <alignment horizontal="center" vertical="center" wrapText="1"/>
    </xf>
    <xf numFmtId="44" fontId="3" fillId="0" borderId="18" xfId="0" applyNumberFormat="1" applyFont="1" applyFill="1" applyBorder="1" applyAlignment="1">
      <alignment horizontal="center" vertical="center"/>
    </xf>
    <xf numFmtId="0" fontId="3" fillId="0" borderId="32" xfId="9" applyFont="1" applyBorder="1" applyAlignment="1">
      <alignment horizontal="left" vertical="top" wrapText="1"/>
    </xf>
    <xf numFmtId="0" fontId="3" fillId="0" borderId="33" xfId="9" applyFont="1" applyBorder="1" applyAlignment="1">
      <alignment horizontal="left" vertical="top" wrapText="1"/>
    </xf>
    <xf numFmtId="0" fontId="3" fillId="0" borderId="39" xfId="9" applyFont="1" applyBorder="1" applyAlignment="1">
      <alignment horizontal="left" vertical="top" wrapText="1"/>
    </xf>
    <xf numFmtId="0" fontId="3" fillId="0" borderId="4" xfId="9" applyFont="1" applyBorder="1" applyAlignment="1">
      <alignment horizontal="left" vertical="top" wrapText="1"/>
    </xf>
    <xf numFmtId="0" fontId="3" fillId="0" borderId="18" xfId="9" applyFont="1" applyBorder="1" applyAlignment="1">
      <alignment horizontal="left" vertical="top" wrapText="1"/>
    </xf>
    <xf numFmtId="0" fontId="3" fillId="0" borderId="34" xfId="9" applyFont="1" applyBorder="1" applyAlignment="1">
      <alignment horizontal="left" vertical="top" wrapText="1"/>
    </xf>
    <xf numFmtId="0" fontId="3" fillId="0" borderId="35" xfId="9" applyFont="1" applyBorder="1" applyAlignment="1">
      <alignment horizontal="left" vertical="top" wrapText="1"/>
    </xf>
    <xf numFmtId="0" fontId="3" fillId="0" borderId="36" xfId="9" applyFont="1" applyBorder="1" applyAlignment="1">
      <alignment horizontal="left" vertical="top" wrapText="1"/>
    </xf>
    <xf numFmtId="0" fontId="10" fillId="0" borderId="0" xfId="9" applyFont="1" applyBorder="1" applyAlignment="1">
      <alignment horizontal="center"/>
    </xf>
    <xf numFmtId="0" fontId="10" fillId="0" borderId="32" xfId="9" applyFont="1" applyBorder="1" applyAlignment="1">
      <alignment horizontal="left" vertical="center"/>
    </xf>
    <xf numFmtId="0" fontId="10" fillId="0" borderId="33" xfId="9" applyFont="1" applyBorder="1" applyAlignment="1">
      <alignment horizontal="left" vertical="center"/>
    </xf>
    <xf numFmtId="0" fontId="10" fillId="0" borderId="8" xfId="9" applyFont="1" applyBorder="1" applyAlignment="1">
      <alignment horizontal="left" vertical="center"/>
    </xf>
    <xf numFmtId="14" fontId="10" fillId="0" borderId="4" xfId="9" applyNumberFormat="1" applyFont="1" applyBorder="1" applyAlignment="1">
      <alignment vertical="center"/>
    </xf>
    <xf numFmtId="0" fontId="3" fillId="0" borderId="4" xfId="9" applyFont="1" applyBorder="1" applyAlignment="1">
      <alignment vertical="center"/>
    </xf>
    <xf numFmtId="0" fontId="10" fillId="0" borderId="22" xfId="9" applyFont="1" applyBorder="1" applyAlignment="1">
      <alignment horizontal="left" vertical="center"/>
    </xf>
    <xf numFmtId="0" fontId="20" fillId="0" borderId="22" xfId="9" applyFont="1" applyBorder="1" applyAlignment="1">
      <alignment vertical="center"/>
    </xf>
    <xf numFmtId="0" fontId="10" fillId="3" borderId="25" xfId="9" applyFont="1" applyFill="1" applyBorder="1" applyAlignment="1">
      <alignment horizontal="center" vertical="center" wrapText="1"/>
    </xf>
    <xf numFmtId="0" fontId="10" fillId="3" borderId="26" xfId="9" applyFont="1" applyFill="1" applyBorder="1" applyAlignment="1">
      <alignment horizontal="center" vertical="center" wrapText="1"/>
    </xf>
    <xf numFmtId="0" fontId="3" fillId="0" borderId="37" xfId="9" applyFont="1" applyBorder="1" applyAlignment="1">
      <alignment horizontal="left" vertical="top" wrapText="1"/>
    </xf>
    <xf numFmtId="0" fontId="3" fillId="0" borderId="38" xfId="9" applyFont="1" applyBorder="1" applyAlignment="1">
      <alignment horizontal="left" vertical="top" wrapText="1"/>
    </xf>
    <xf numFmtId="0" fontId="3" fillId="0" borderId="20" xfId="9" applyFont="1" applyBorder="1" applyAlignment="1">
      <alignment horizontal="left" vertical="top" wrapText="1"/>
    </xf>
    <xf numFmtId="0" fontId="10" fillId="6" borderId="24" xfId="9" applyFont="1" applyFill="1" applyBorder="1" applyAlignment="1">
      <alignment horizontal="left" vertical="center" wrapText="1"/>
    </xf>
    <xf numFmtId="0" fontId="10" fillId="6" borderId="25" xfId="9" applyFont="1" applyFill="1" applyBorder="1" applyAlignment="1">
      <alignment horizontal="left" vertical="center" wrapText="1"/>
    </xf>
    <xf numFmtId="0" fontId="10" fillId="6" borderId="26" xfId="9" applyFont="1" applyFill="1" applyBorder="1" applyAlignment="1">
      <alignment horizontal="left" vertical="center" wrapText="1"/>
    </xf>
    <xf numFmtId="0" fontId="3" fillId="0" borderId="17" xfId="9" applyFont="1" applyBorder="1" applyAlignment="1">
      <alignment horizontal="left" vertical="center" wrapText="1"/>
    </xf>
    <xf numFmtId="0" fontId="3" fillId="0" borderId="15" xfId="9" applyFont="1" applyBorder="1" applyAlignment="1">
      <alignment horizontal="left" vertical="center" wrapText="1"/>
    </xf>
    <xf numFmtId="0" fontId="10" fillId="6" borderId="24" xfId="9" applyFont="1" applyFill="1" applyBorder="1" applyAlignment="1">
      <alignment horizontal="left" vertical="top" wrapText="1"/>
    </xf>
    <xf numFmtId="0" fontId="3" fillId="6" borderId="25" xfId="9" applyFont="1" applyFill="1" applyBorder="1" applyAlignment="1">
      <alignment horizontal="left" vertical="top" wrapText="1"/>
    </xf>
    <xf numFmtId="0" fontId="3" fillId="6" borderId="26" xfId="9" applyFont="1" applyFill="1" applyBorder="1" applyAlignment="1">
      <alignment horizontal="left" vertical="top" wrapText="1"/>
    </xf>
    <xf numFmtId="0" fontId="3" fillId="0" borderId="22" xfId="9" applyFont="1" applyBorder="1" applyAlignment="1">
      <alignment horizontal="center" vertical="center" wrapText="1"/>
    </xf>
    <xf numFmtId="0" fontId="3" fillId="0" borderId="49" xfId="9" applyFont="1" applyBorder="1" applyAlignment="1">
      <alignment horizontal="center" vertical="center" wrapText="1"/>
    </xf>
    <xf numFmtId="0" fontId="3" fillId="0" borderId="3" xfId="9" applyFont="1" applyBorder="1" applyAlignment="1">
      <alignment horizontal="center" vertical="center" wrapText="1"/>
    </xf>
    <xf numFmtId="0" fontId="3" fillId="0" borderId="23" xfId="9" applyFont="1" applyBorder="1" applyAlignment="1">
      <alignment horizontal="center" vertical="top" wrapText="1"/>
    </xf>
    <xf numFmtId="0" fontId="3" fillId="0" borderId="50" xfId="9" applyFont="1" applyBorder="1" applyAlignment="1">
      <alignment horizontal="center" vertical="top" wrapText="1"/>
    </xf>
    <xf numFmtId="0" fontId="3" fillId="0" borderId="16" xfId="9" applyFont="1" applyBorder="1" applyAlignment="1">
      <alignment horizontal="center" vertical="top" wrapText="1"/>
    </xf>
    <xf numFmtId="0" fontId="10" fillId="6" borderId="17" xfId="9" applyFont="1" applyFill="1" applyBorder="1" applyAlignment="1">
      <alignment horizontal="left" vertical="center" wrapText="1"/>
    </xf>
    <xf numFmtId="0" fontId="10" fillId="6" borderId="4" xfId="9" applyFont="1" applyFill="1" applyBorder="1" applyAlignment="1">
      <alignment horizontal="left" vertical="center" wrapText="1"/>
    </xf>
    <xf numFmtId="0" fontId="10" fillId="6" borderId="18" xfId="9" applyFont="1" applyFill="1" applyBorder="1" applyAlignment="1">
      <alignment horizontal="left" vertical="center" wrapText="1"/>
    </xf>
    <xf numFmtId="0" fontId="10" fillId="6" borderId="40" xfId="9" applyFont="1" applyFill="1" applyBorder="1" applyAlignment="1">
      <alignment horizontal="left" vertical="center" wrapText="1"/>
    </xf>
    <xf numFmtId="0" fontId="10" fillId="6" borderId="41" xfId="9" applyFont="1" applyFill="1" applyBorder="1" applyAlignment="1">
      <alignment horizontal="left" vertical="center" wrapText="1"/>
    </xf>
    <xf numFmtId="0" fontId="10" fillId="6" borderId="43" xfId="9" applyFont="1" applyFill="1" applyBorder="1" applyAlignment="1">
      <alignment horizontal="left" vertical="center" wrapText="1"/>
    </xf>
    <xf numFmtId="0" fontId="3" fillId="7" borderId="51" xfId="9" applyFont="1" applyFill="1" applyBorder="1" applyAlignment="1">
      <alignment horizontal="right" vertical="center" wrapText="1"/>
    </xf>
    <xf numFmtId="0" fontId="3" fillId="7" borderId="52" xfId="9" applyFont="1" applyFill="1" applyBorder="1" applyAlignment="1">
      <alignment vertical="center" wrapText="1"/>
    </xf>
    <xf numFmtId="0" fontId="3" fillId="7" borderId="53" xfId="9" applyFont="1" applyFill="1" applyBorder="1" applyAlignment="1">
      <alignment vertical="center" wrapText="1"/>
    </xf>
    <xf numFmtId="0" fontId="3" fillId="0" borderId="47" xfId="9" applyFont="1" applyFill="1" applyBorder="1" applyAlignment="1">
      <alignment horizontal="center" vertical="top" wrapText="1"/>
    </xf>
    <xf numFmtId="0" fontId="3" fillId="0" borderId="16" xfId="9" applyFont="1" applyFill="1" applyBorder="1" applyAlignment="1">
      <alignment horizontal="center" vertical="top" wrapText="1"/>
    </xf>
    <xf numFmtId="0" fontId="3" fillId="7" borderId="55" xfId="9" applyFont="1" applyFill="1" applyBorder="1" applyAlignment="1">
      <alignment horizontal="right" vertical="center" wrapText="1"/>
    </xf>
    <xf numFmtId="0" fontId="3" fillId="7" borderId="31" xfId="9" applyFont="1" applyFill="1" applyBorder="1" applyAlignment="1">
      <alignment vertical="center" wrapText="1"/>
    </xf>
    <xf numFmtId="0" fontId="3" fillId="7" borderId="56" xfId="9" applyFont="1" applyFill="1" applyBorder="1" applyAlignment="1">
      <alignment vertical="center" wrapText="1"/>
    </xf>
    <xf numFmtId="0" fontId="10" fillId="0" borderId="10" xfId="9" applyFont="1" applyBorder="1" applyAlignment="1">
      <alignment horizontal="center" vertical="center"/>
    </xf>
    <xf numFmtId="0" fontId="10" fillId="0" borderId="11" xfId="9" applyFont="1" applyBorder="1" applyAlignment="1">
      <alignment horizontal="center" vertical="center"/>
    </xf>
    <xf numFmtId="0" fontId="10" fillId="0" borderId="12" xfId="9" applyFont="1" applyBorder="1" applyAlignment="1">
      <alignment horizontal="center" vertical="center"/>
    </xf>
    <xf numFmtId="0" fontId="10" fillId="0" borderId="40" xfId="9" applyFont="1" applyBorder="1" applyAlignment="1">
      <alignment horizontal="left" vertical="center"/>
    </xf>
    <xf numFmtId="0" fontId="10" fillId="0" borderId="41" xfId="9" applyFont="1" applyBorder="1" applyAlignment="1">
      <alignment horizontal="left" vertical="center"/>
    </xf>
    <xf numFmtId="14" fontId="10" fillId="0" borderId="42" xfId="9" applyNumberFormat="1" applyFont="1" applyBorder="1" applyAlignment="1">
      <alignment vertical="center"/>
    </xf>
    <xf numFmtId="0" fontId="3" fillId="0" borderId="41" xfId="9" applyFont="1" applyBorder="1" applyAlignment="1">
      <alignment vertical="center"/>
    </xf>
    <xf numFmtId="0" fontId="3" fillId="0" borderId="43" xfId="9" applyFont="1" applyBorder="1" applyAlignment="1">
      <alignment vertical="center"/>
    </xf>
    <xf numFmtId="0" fontId="10" fillId="0" borderId="44" xfId="9" applyFont="1" applyBorder="1" applyAlignment="1">
      <alignment horizontal="left" vertical="center"/>
    </xf>
    <xf numFmtId="0" fontId="10" fillId="0" borderId="35" xfId="9" applyFont="1" applyBorder="1" applyAlignment="1">
      <alignment horizontal="left" vertical="center"/>
    </xf>
    <xf numFmtId="0" fontId="10" fillId="0" borderId="36" xfId="9" applyFont="1" applyBorder="1" applyAlignment="1">
      <alignment horizontal="left" vertical="center"/>
    </xf>
    <xf numFmtId="0" fontId="10" fillId="3" borderId="45" xfId="9" applyFont="1" applyFill="1" applyBorder="1" applyAlignment="1">
      <alignment horizontal="center" vertical="center" wrapText="1"/>
    </xf>
    <xf numFmtId="0" fontId="10" fillId="3" borderId="48" xfId="9" applyFont="1" applyFill="1" applyBorder="1" applyAlignment="1">
      <alignment horizontal="center" vertical="center" wrapText="1"/>
    </xf>
    <xf numFmtId="0" fontId="10" fillId="3" borderId="46" xfId="9" applyFont="1" applyFill="1" applyBorder="1" applyAlignment="1">
      <alignment horizontal="center" vertical="top" wrapText="1"/>
    </xf>
    <xf numFmtId="0" fontId="10" fillId="3" borderId="49" xfId="9" applyFont="1" applyFill="1" applyBorder="1" applyAlignment="1">
      <alignment horizontal="center" vertical="top" wrapText="1"/>
    </xf>
    <xf numFmtId="0" fontId="10" fillId="3" borderId="46" xfId="9" applyFont="1" applyFill="1" applyBorder="1" applyAlignment="1">
      <alignment horizontal="center" vertical="center" wrapText="1"/>
    </xf>
    <xf numFmtId="0" fontId="10" fillId="3" borderId="49" xfId="9" applyFont="1" applyFill="1" applyBorder="1" applyAlignment="1">
      <alignment horizontal="center" vertical="center" wrapText="1"/>
    </xf>
    <xf numFmtId="0" fontId="10" fillId="3" borderId="46" xfId="9" applyFont="1" applyFill="1" applyBorder="1" applyAlignment="1">
      <alignment horizontal="center" vertical="center"/>
    </xf>
    <xf numFmtId="0" fontId="3" fillId="3" borderId="49" xfId="9" applyFont="1" applyFill="1" applyBorder="1" applyAlignment="1">
      <alignment horizontal="center" vertical="center"/>
    </xf>
    <xf numFmtId="0" fontId="10" fillId="3" borderId="47" xfId="9" applyFont="1" applyFill="1" applyBorder="1" applyAlignment="1">
      <alignment horizontal="center" vertical="center"/>
    </xf>
    <xf numFmtId="0" fontId="3" fillId="3" borderId="50" xfId="9" applyFont="1" applyFill="1" applyBorder="1" applyAlignment="1">
      <alignment horizontal="center" vertical="center"/>
    </xf>
    <xf numFmtId="0" fontId="10" fillId="6" borderId="40" xfId="9" applyFont="1" applyFill="1" applyBorder="1" applyAlignment="1">
      <alignment horizontal="left" vertical="center"/>
    </xf>
    <xf numFmtId="0" fontId="3" fillId="0" borderId="41" xfId="9" applyFont="1" applyBorder="1" applyAlignment="1">
      <alignment horizontal="left" vertical="center"/>
    </xf>
    <xf numFmtId="0" fontId="3" fillId="0" borderId="43" xfId="9" applyFont="1" applyBorder="1" applyAlignment="1">
      <alignment horizontal="left" vertical="center"/>
    </xf>
    <xf numFmtId="0" fontId="3" fillId="0" borderId="43" xfId="9" applyFont="1" applyBorder="1" applyAlignment="1">
      <alignment horizontal="left" vertical="center" wrapText="1"/>
    </xf>
    <xf numFmtId="44" fontId="3" fillId="0" borderId="23" xfId="0" applyNumberFormat="1" applyFont="1" applyBorder="1" applyAlignment="1">
      <alignment horizontal="center" vertical="center" wrapText="1"/>
    </xf>
    <xf numFmtId="44" fontId="3" fillId="0" borderId="50" xfId="0" applyNumberFormat="1" applyFont="1" applyBorder="1" applyAlignment="1">
      <alignment horizontal="center" vertical="center" wrapText="1"/>
    </xf>
    <xf numFmtId="44" fontId="3" fillId="0" borderId="22" xfId="0" applyNumberFormat="1" applyFont="1" applyBorder="1" applyAlignment="1">
      <alignment horizontal="center" vertical="center" wrapText="1"/>
    </xf>
    <xf numFmtId="44" fontId="3" fillId="0" borderId="49" xfId="0" applyNumberFormat="1" applyFont="1" applyBorder="1" applyAlignment="1">
      <alignment horizontal="center" vertical="center" wrapText="1"/>
    </xf>
    <xf numFmtId="44" fontId="3" fillId="3" borderId="22" xfId="0" applyNumberFormat="1" applyFont="1" applyFill="1" applyBorder="1" applyAlignment="1">
      <alignment horizontal="center" vertical="center" wrapText="1"/>
    </xf>
    <xf numFmtId="44" fontId="3" fillId="3" borderId="49" xfId="0" applyNumberFormat="1" applyFont="1" applyFill="1" applyBorder="1" applyAlignment="1">
      <alignment horizontal="center" vertical="center" wrapText="1"/>
    </xf>
    <xf numFmtId="44" fontId="3" fillId="0" borderId="22" xfId="2" applyNumberFormat="1" applyFont="1" applyFill="1" applyBorder="1" applyAlignment="1">
      <alignment horizontal="center" vertical="center" wrapText="1"/>
    </xf>
    <xf numFmtId="44" fontId="3" fillId="0" borderId="49" xfId="2" applyNumberFormat="1" applyFont="1" applyFill="1" applyBorder="1" applyAlignment="1">
      <alignment horizontal="center" vertical="center" wrapText="1"/>
    </xf>
    <xf numFmtId="44" fontId="3" fillId="0" borderId="22" xfId="2" applyNumberFormat="1" applyFont="1" applyBorder="1" applyAlignment="1">
      <alignment horizontal="center" vertical="center" wrapText="1"/>
    </xf>
    <xf numFmtId="44" fontId="3" fillId="0" borderId="49" xfId="2" applyNumberFormat="1" applyFont="1" applyBorder="1" applyAlignment="1">
      <alignment horizontal="center" vertical="center" wrapText="1"/>
    </xf>
    <xf numFmtId="0" fontId="3" fillId="0" borderId="21" xfId="5" applyFont="1" applyBorder="1" applyAlignment="1">
      <alignment horizontal="center" vertical="center" wrapText="1"/>
    </xf>
    <xf numFmtId="0" fontId="3" fillId="0" borderId="48"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21" xfId="5" applyFont="1" applyFill="1" applyBorder="1" applyAlignment="1">
      <alignment horizontal="center" vertical="center" wrapText="1"/>
    </xf>
    <xf numFmtId="0" fontId="3" fillId="0" borderId="48" xfId="5" applyFont="1" applyFill="1" applyBorder="1" applyAlignment="1">
      <alignment horizontal="center" vertical="center" wrapText="1"/>
    </xf>
    <xf numFmtId="0" fontId="3" fillId="0" borderId="27" xfId="5" applyFont="1" applyFill="1" applyBorder="1" applyAlignment="1">
      <alignment horizontal="center" vertical="center" wrapText="1"/>
    </xf>
    <xf numFmtId="0" fontId="10" fillId="0" borderId="0" xfId="0" applyFont="1" applyBorder="1" applyAlignment="1">
      <alignment horizontal="left" vertical="center" wrapText="1"/>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3" fillId="0" borderId="4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5" applyFont="1" applyBorder="1" applyAlignment="1">
      <alignment horizontal="left" vertical="top" wrapText="1"/>
    </xf>
    <xf numFmtId="0" fontId="3" fillId="0" borderId="49" xfId="5" applyFont="1" applyBorder="1" applyAlignment="1">
      <alignment horizontal="left" vertical="top" wrapText="1"/>
    </xf>
    <xf numFmtId="0" fontId="3" fillId="0" borderId="22" xfId="0" applyFont="1" applyBorder="1" applyAlignment="1">
      <alignment horizontal="center" vertical="center"/>
    </xf>
    <xf numFmtId="0" fontId="3" fillId="0" borderId="49" xfId="0" applyFont="1" applyBorder="1" applyAlignment="1">
      <alignment horizontal="center" vertical="center"/>
    </xf>
  </cellXfs>
  <cellStyles count="15">
    <cellStyle name="Comma" xfId="11" builtinId="3"/>
    <cellStyle name="Currency" xfId="1" builtinId="4"/>
    <cellStyle name="Currency 2" xfId="2"/>
    <cellStyle name="Currency 2 2" xfId="12"/>
    <cellStyle name="Currency 3" xfId="3"/>
    <cellStyle name="Hyperlink 2" xfId="4"/>
    <cellStyle name="Normal" xfId="0" builtinId="0"/>
    <cellStyle name="Normal 2" xfId="5"/>
    <cellStyle name="Normal 2 2" xfId="6"/>
    <cellStyle name="Normal 2 3" xfId="10"/>
    <cellStyle name="Normal 2 4" xfId="13"/>
    <cellStyle name="Normal 3" xfId="7"/>
    <cellStyle name="Normal 3 2" xfId="14"/>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90237</xdr:colOff>
      <xdr:row>4</xdr:row>
      <xdr:rowOff>76701</xdr:rowOff>
    </xdr:from>
    <xdr:to>
      <xdr:col>18</xdr:col>
      <xdr:colOff>1203157</xdr:colOff>
      <xdr:row>4</xdr:row>
      <xdr:rowOff>481263</xdr:rowOff>
    </xdr:to>
    <xdr:sp macro="" textlink="">
      <xdr:nvSpPr>
        <xdr:cNvPr id="8193" name="Drop Down 1">
          <a:extLst>
            <a:ext uri="{FF2B5EF4-FFF2-40B4-BE49-F238E27FC236}">
              <a16:creationId xmlns:a16="http://schemas.microsoft.com/office/drawing/2014/main" xmlns="" id="{1C8A07E7-D6B5-48E7-9BBF-E97AFA76C518}"/>
            </a:ext>
          </a:extLst>
        </xdr:cNvPr>
        <xdr:cNvSpPr/>
      </xdr:nvSpPr>
      <xdr:spPr bwMode="auto">
        <a:xfrm>
          <a:off x="5795211" y="1269833"/>
          <a:ext cx="1203157" cy="404562"/>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twoCellAnchor editAs="oneCell">
    <xdr:from>
      <xdr:col>8</xdr:col>
      <xdr:colOff>88732</xdr:colOff>
      <xdr:row>4</xdr:row>
      <xdr:rowOff>37099</xdr:rowOff>
    </xdr:from>
    <xdr:to>
      <xdr:col>18</xdr:col>
      <xdr:colOff>1555583</xdr:colOff>
      <xdr:row>4</xdr:row>
      <xdr:rowOff>461210</xdr:rowOff>
    </xdr:to>
    <xdr:sp macro="" textlink="">
      <xdr:nvSpPr>
        <xdr:cNvPr id="8194" name="Drop Down 2">
          <a:extLst>
            <a:ext uri="{FF2B5EF4-FFF2-40B4-BE49-F238E27FC236}">
              <a16:creationId xmlns:a16="http://schemas.microsoft.com/office/drawing/2014/main" xmlns="" id="{0D37CEC4-7868-4A8E-AE55-3ED0A8E839E1}"/>
            </a:ext>
          </a:extLst>
        </xdr:cNvPr>
        <xdr:cNvSpPr/>
      </xdr:nvSpPr>
      <xdr:spPr bwMode="auto">
        <a:xfrm>
          <a:off x="8931943" y="1230231"/>
          <a:ext cx="1555583"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15</xdr:col>
      <xdr:colOff>59657</xdr:colOff>
      <xdr:row>4</xdr:row>
      <xdr:rowOff>27571</xdr:rowOff>
    </xdr:from>
    <xdr:to>
      <xdr:col>18</xdr:col>
      <xdr:colOff>1564606</xdr:colOff>
      <xdr:row>5</xdr:row>
      <xdr:rowOff>0</xdr:rowOff>
    </xdr:to>
    <xdr:sp macro="" textlink="">
      <xdr:nvSpPr>
        <xdr:cNvPr id="8195" name="Drop Down 3">
          <a:extLst>
            <a:ext uri="{FF2B5EF4-FFF2-40B4-BE49-F238E27FC236}">
              <a16:creationId xmlns:a16="http://schemas.microsoft.com/office/drawing/2014/main" xmlns="" id="{60F8F882-4B85-4477-9C7A-D48019580AF0}"/>
            </a:ext>
          </a:extLst>
        </xdr:cNvPr>
        <xdr:cNvSpPr/>
      </xdr:nvSpPr>
      <xdr:spPr bwMode="auto">
        <a:xfrm>
          <a:off x="12652710" y="1220703"/>
          <a:ext cx="1564606" cy="473744"/>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twoCellAnchor>
  <xdr:twoCellAnchor editAs="oneCell">
    <xdr:from>
      <xdr:col>21</xdr:col>
      <xdr:colOff>25568</xdr:colOff>
      <xdr:row>4</xdr:row>
      <xdr:rowOff>7519</xdr:rowOff>
    </xdr:from>
    <xdr:to>
      <xdr:col>23</xdr:col>
      <xdr:colOff>1508457</xdr:colOff>
      <xdr:row>4</xdr:row>
      <xdr:rowOff>481263</xdr:rowOff>
    </xdr:to>
    <xdr:sp macro="" textlink="">
      <xdr:nvSpPr>
        <xdr:cNvPr id="8196" name="Drop Down 4">
          <a:extLst>
            <a:ext uri="{FF2B5EF4-FFF2-40B4-BE49-F238E27FC236}">
              <a16:creationId xmlns:a16="http://schemas.microsoft.com/office/drawing/2014/main" xmlns="" id="{B9213F0C-D4AB-4B25-98CB-4AD9AADE892A}"/>
            </a:ext>
          </a:extLst>
        </xdr:cNvPr>
        <xdr:cNvSpPr/>
      </xdr:nvSpPr>
      <xdr:spPr bwMode="auto">
        <a:xfrm>
          <a:off x="16398542" y="1200651"/>
          <a:ext cx="1508457" cy="473744"/>
        </a:xfrm>
        <a:prstGeom prst="rect">
          <a:avLst/>
        </a:prstGeom>
        <a:blipFill>
          <a:blip xmlns:r="http://schemas.openxmlformats.org/officeDocument/2006/relationships" r:embed="rId4"/>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twoCellAnchor>
  <xdr:twoCellAnchor editAs="oneCell">
    <xdr:from>
      <xdr:col>26</xdr:col>
      <xdr:colOff>21054</xdr:colOff>
      <xdr:row>4</xdr:row>
      <xdr:rowOff>27071</xdr:rowOff>
    </xdr:from>
    <xdr:to>
      <xdr:col>27</xdr:col>
      <xdr:colOff>1312445</xdr:colOff>
      <xdr:row>4</xdr:row>
      <xdr:rowOff>491289</xdr:rowOff>
    </xdr:to>
    <xdr:sp macro="" textlink="">
      <xdr:nvSpPr>
        <xdr:cNvPr id="8197" name="Drop Down 5">
          <a:extLst>
            <a:ext uri="{FF2B5EF4-FFF2-40B4-BE49-F238E27FC236}">
              <a16:creationId xmlns:a16="http://schemas.microsoft.com/office/drawing/2014/main" xmlns="" id="{E81DE35D-2CB7-4EDD-A539-E345D577F86C}"/>
            </a:ext>
          </a:extLst>
        </xdr:cNvPr>
        <xdr:cNvSpPr/>
      </xdr:nvSpPr>
      <xdr:spPr bwMode="auto">
        <a:xfrm>
          <a:off x="21758107" y="1220203"/>
          <a:ext cx="1312445" cy="464218"/>
        </a:xfrm>
        <a:prstGeom prst="rect">
          <a:avLst/>
        </a:prstGeom>
        <a:blipFill>
          <a:blip xmlns:r="http://schemas.openxmlformats.org/officeDocument/2006/relationships" r:embed="rId5"/>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Sustainability</a:t>
          </a:r>
        </a:p>
      </xdr:txBody>
    </xdr:sp>
    <xdr:clientData/>
  </xdr:twoCellAnchor>
  <xdr:oneCellAnchor>
    <xdr:from>
      <xdr:col>4</xdr:col>
      <xdr:colOff>100262</xdr:colOff>
      <xdr:row>4</xdr:row>
      <xdr:rowOff>56648</xdr:rowOff>
    </xdr:from>
    <xdr:ext cx="1253291" cy="344404"/>
    <xdr:sp macro="" textlink="">
      <xdr:nvSpPr>
        <xdr:cNvPr id="7" name="Drop Down 1">
          <a:extLst>
            <a:ext uri="{FF2B5EF4-FFF2-40B4-BE49-F238E27FC236}">
              <a16:creationId xmlns:a16="http://schemas.microsoft.com/office/drawing/2014/main" xmlns="" id="{1C8A07E7-D6B5-48E7-9BBF-E97AFA76C518}"/>
            </a:ext>
          </a:extLst>
        </xdr:cNvPr>
        <xdr:cNvSpPr/>
      </xdr:nvSpPr>
      <xdr:spPr bwMode="auto">
        <a:xfrm>
          <a:off x="7249025" y="1249780"/>
          <a:ext cx="1253291" cy="344404"/>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9</xdr:col>
      <xdr:colOff>88733</xdr:colOff>
      <xdr:row>4</xdr:row>
      <xdr:rowOff>37098</xdr:rowOff>
    </xdr:from>
    <xdr:ext cx="1485399" cy="414086"/>
    <xdr:sp macro="" textlink="">
      <xdr:nvSpPr>
        <xdr:cNvPr id="9" name="Drop Down 2">
          <a:extLst>
            <a:ext uri="{FF2B5EF4-FFF2-40B4-BE49-F238E27FC236}">
              <a16:creationId xmlns:a16="http://schemas.microsoft.com/office/drawing/2014/main" xmlns="" id="{0D37CEC4-7868-4A8E-AE55-3ED0A8E839E1}"/>
            </a:ext>
          </a:extLst>
        </xdr:cNvPr>
        <xdr:cNvSpPr/>
      </xdr:nvSpPr>
      <xdr:spPr bwMode="auto">
        <a:xfrm>
          <a:off x="10696575" y="1230230"/>
          <a:ext cx="1485399" cy="41408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16</xdr:col>
      <xdr:colOff>59657</xdr:colOff>
      <xdr:row>4</xdr:row>
      <xdr:rowOff>27571</xdr:rowOff>
    </xdr:from>
    <xdr:ext cx="1544554" cy="513849"/>
    <xdr:sp macro="" textlink="">
      <xdr:nvSpPr>
        <xdr:cNvPr id="10" name="Drop Down 3">
          <a:extLst>
            <a:ext uri="{FF2B5EF4-FFF2-40B4-BE49-F238E27FC236}">
              <a16:creationId xmlns:a16="http://schemas.microsoft.com/office/drawing/2014/main" xmlns="" id="{60F8F882-4B85-4477-9C7A-D48019580AF0}"/>
            </a:ext>
          </a:extLst>
        </xdr:cNvPr>
        <xdr:cNvSpPr/>
      </xdr:nvSpPr>
      <xdr:spPr bwMode="auto">
        <a:xfrm>
          <a:off x="14467473" y="1220703"/>
          <a:ext cx="1544554" cy="513849"/>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22</xdr:col>
      <xdr:colOff>25568</xdr:colOff>
      <xdr:row>4</xdr:row>
      <xdr:rowOff>7519</xdr:rowOff>
    </xdr:from>
    <xdr:ext cx="1518485" cy="483769"/>
    <xdr:sp macro="" textlink="">
      <xdr:nvSpPr>
        <xdr:cNvPr id="12" name="Drop Down 4">
          <a:extLst>
            <a:ext uri="{FF2B5EF4-FFF2-40B4-BE49-F238E27FC236}">
              <a16:creationId xmlns:a16="http://schemas.microsoft.com/office/drawing/2014/main" xmlns="" id="{B9213F0C-D4AB-4B25-98CB-4AD9AADE892A}"/>
            </a:ext>
          </a:extLst>
        </xdr:cNvPr>
        <xdr:cNvSpPr/>
      </xdr:nvSpPr>
      <xdr:spPr bwMode="auto">
        <a:xfrm>
          <a:off x="17992726" y="1200651"/>
          <a:ext cx="1518485" cy="483769"/>
        </a:xfrm>
        <a:prstGeom prst="rect">
          <a:avLst/>
        </a:prstGeom>
        <a:blipFill>
          <a:blip xmlns:r="http://schemas.openxmlformats.org/officeDocument/2006/relationships" r:embed="rId4"/>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28</xdr:col>
      <xdr:colOff>21054</xdr:colOff>
      <xdr:row>4</xdr:row>
      <xdr:rowOff>27071</xdr:rowOff>
    </xdr:from>
    <xdr:ext cx="1252287" cy="464217"/>
    <xdr:sp macro="" textlink="">
      <xdr:nvSpPr>
        <xdr:cNvPr id="13" name="Drop Down 5">
          <a:extLst>
            <a:ext uri="{FF2B5EF4-FFF2-40B4-BE49-F238E27FC236}">
              <a16:creationId xmlns:a16="http://schemas.microsoft.com/office/drawing/2014/main" xmlns="" id="{E81DE35D-2CB7-4EDD-A539-E345D577F86C}"/>
            </a:ext>
          </a:extLst>
        </xdr:cNvPr>
        <xdr:cNvSpPr/>
      </xdr:nvSpPr>
      <xdr:spPr bwMode="auto">
        <a:xfrm>
          <a:off x="23322212" y="1220203"/>
          <a:ext cx="1252287" cy="464217"/>
        </a:xfrm>
        <a:prstGeom prst="rect">
          <a:avLst/>
        </a:prstGeom>
        <a:blipFill>
          <a:blip xmlns:r="http://schemas.openxmlformats.org/officeDocument/2006/relationships" r:embed="rId5"/>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Sustainability</a:t>
          </a:r>
        </a:p>
      </xdr:txBody>
    </xdr:sp>
    <xdr:clientData/>
  </xdr:oneCellAnchor>
  <xdr:oneCellAnchor>
    <xdr:from>
      <xdr:col>5</xdr:col>
      <xdr:colOff>100263</xdr:colOff>
      <xdr:row>4</xdr:row>
      <xdr:rowOff>56647</xdr:rowOff>
    </xdr:from>
    <xdr:ext cx="1163054" cy="374483"/>
    <xdr:sp macro="" textlink="">
      <xdr:nvSpPr>
        <xdr:cNvPr id="15" name="Drop Down 1">
          <a:extLst>
            <a:ext uri="{FF2B5EF4-FFF2-40B4-BE49-F238E27FC236}">
              <a16:creationId xmlns:a16="http://schemas.microsoft.com/office/drawing/2014/main" xmlns="" id="{1C8A07E7-D6B5-48E7-9BBF-E97AFA76C518}"/>
            </a:ext>
          </a:extLst>
        </xdr:cNvPr>
        <xdr:cNvSpPr/>
      </xdr:nvSpPr>
      <xdr:spPr bwMode="auto">
        <a:xfrm>
          <a:off x="7249026" y="1249779"/>
          <a:ext cx="1163054" cy="374483"/>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5</xdr:col>
      <xdr:colOff>100262</xdr:colOff>
      <xdr:row>4</xdr:row>
      <xdr:rowOff>56648</xdr:rowOff>
    </xdr:from>
    <xdr:ext cx="1253291" cy="344404"/>
    <xdr:sp macro="" textlink="">
      <xdr:nvSpPr>
        <xdr:cNvPr id="14" name="Drop Down 1">
          <a:extLst>
            <a:ext uri="{FF2B5EF4-FFF2-40B4-BE49-F238E27FC236}">
              <a16:creationId xmlns:a16="http://schemas.microsoft.com/office/drawing/2014/main" xmlns="" id="{1C8A07E7-D6B5-48E7-9BBF-E97AFA76C518}"/>
            </a:ext>
          </a:extLst>
        </xdr:cNvPr>
        <xdr:cNvSpPr/>
      </xdr:nvSpPr>
      <xdr:spPr bwMode="auto">
        <a:xfrm>
          <a:off x="6988342" y="1249780"/>
          <a:ext cx="1253291" cy="344404"/>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6</xdr:col>
      <xdr:colOff>100263</xdr:colOff>
      <xdr:row>4</xdr:row>
      <xdr:rowOff>56647</xdr:rowOff>
    </xdr:from>
    <xdr:ext cx="1163054" cy="374483"/>
    <xdr:sp macro="" textlink="">
      <xdr:nvSpPr>
        <xdr:cNvPr id="16" name="Drop Down 1">
          <a:extLst>
            <a:ext uri="{FF2B5EF4-FFF2-40B4-BE49-F238E27FC236}">
              <a16:creationId xmlns:a16="http://schemas.microsoft.com/office/drawing/2014/main" xmlns="" id="{1C8A07E7-D6B5-48E7-9BBF-E97AFA76C518}"/>
            </a:ext>
          </a:extLst>
        </xdr:cNvPr>
        <xdr:cNvSpPr/>
      </xdr:nvSpPr>
      <xdr:spPr bwMode="auto">
        <a:xfrm>
          <a:off x="7088605" y="1249779"/>
          <a:ext cx="1163054" cy="374483"/>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9</xdr:col>
      <xdr:colOff>88732</xdr:colOff>
      <xdr:row>4</xdr:row>
      <xdr:rowOff>37099</xdr:rowOff>
    </xdr:from>
    <xdr:ext cx="1555583" cy="424111"/>
    <xdr:sp macro="" textlink="">
      <xdr:nvSpPr>
        <xdr:cNvPr id="17" name="Drop Down 2">
          <a:extLst>
            <a:ext uri="{FF2B5EF4-FFF2-40B4-BE49-F238E27FC236}">
              <a16:creationId xmlns:a16="http://schemas.microsoft.com/office/drawing/2014/main" xmlns="" id="{0D37CEC4-7868-4A8E-AE55-3ED0A8E839E1}"/>
            </a:ext>
          </a:extLst>
        </xdr:cNvPr>
        <xdr:cNvSpPr/>
      </xdr:nvSpPr>
      <xdr:spPr bwMode="auto">
        <a:xfrm>
          <a:off x="9904495" y="1230231"/>
          <a:ext cx="1555583"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10</xdr:col>
      <xdr:colOff>88733</xdr:colOff>
      <xdr:row>4</xdr:row>
      <xdr:rowOff>37098</xdr:rowOff>
    </xdr:from>
    <xdr:ext cx="1485399" cy="414086"/>
    <xdr:sp macro="" textlink="">
      <xdr:nvSpPr>
        <xdr:cNvPr id="18" name="Drop Down 2">
          <a:extLst>
            <a:ext uri="{FF2B5EF4-FFF2-40B4-BE49-F238E27FC236}">
              <a16:creationId xmlns:a16="http://schemas.microsoft.com/office/drawing/2014/main" xmlns="" id="{0D37CEC4-7868-4A8E-AE55-3ED0A8E839E1}"/>
            </a:ext>
          </a:extLst>
        </xdr:cNvPr>
        <xdr:cNvSpPr/>
      </xdr:nvSpPr>
      <xdr:spPr bwMode="auto">
        <a:xfrm>
          <a:off x="11538786" y="1230230"/>
          <a:ext cx="1485399" cy="41408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10</xdr:col>
      <xdr:colOff>88732</xdr:colOff>
      <xdr:row>4</xdr:row>
      <xdr:rowOff>37099</xdr:rowOff>
    </xdr:from>
    <xdr:ext cx="1555583" cy="424111"/>
    <xdr:sp macro="" textlink="">
      <xdr:nvSpPr>
        <xdr:cNvPr id="19" name="Drop Down 2">
          <a:extLst>
            <a:ext uri="{FF2B5EF4-FFF2-40B4-BE49-F238E27FC236}">
              <a16:creationId xmlns:a16="http://schemas.microsoft.com/office/drawing/2014/main" xmlns="" id="{0D37CEC4-7868-4A8E-AE55-3ED0A8E839E1}"/>
            </a:ext>
          </a:extLst>
        </xdr:cNvPr>
        <xdr:cNvSpPr/>
      </xdr:nvSpPr>
      <xdr:spPr bwMode="auto">
        <a:xfrm>
          <a:off x="8450679" y="1230231"/>
          <a:ext cx="1555583"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11</xdr:col>
      <xdr:colOff>88733</xdr:colOff>
      <xdr:row>4</xdr:row>
      <xdr:rowOff>37098</xdr:rowOff>
    </xdr:from>
    <xdr:ext cx="1485399" cy="414086"/>
    <xdr:sp macro="" textlink="">
      <xdr:nvSpPr>
        <xdr:cNvPr id="20" name="Drop Down 2">
          <a:extLst>
            <a:ext uri="{FF2B5EF4-FFF2-40B4-BE49-F238E27FC236}">
              <a16:creationId xmlns:a16="http://schemas.microsoft.com/office/drawing/2014/main" xmlns="" id="{0D37CEC4-7868-4A8E-AE55-3ED0A8E839E1}"/>
            </a:ext>
          </a:extLst>
        </xdr:cNvPr>
        <xdr:cNvSpPr/>
      </xdr:nvSpPr>
      <xdr:spPr bwMode="auto">
        <a:xfrm>
          <a:off x="10034838" y="1230230"/>
          <a:ext cx="1485399" cy="41408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17</xdr:col>
      <xdr:colOff>59657</xdr:colOff>
      <xdr:row>4</xdr:row>
      <xdr:rowOff>27571</xdr:rowOff>
    </xdr:from>
    <xdr:ext cx="1544554" cy="513849"/>
    <xdr:sp macro="" textlink="">
      <xdr:nvSpPr>
        <xdr:cNvPr id="21" name="Drop Down 3">
          <a:extLst>
            <a:ext uri="{FF2B5EF4-FFF2-40B4-BE49-F238E27FC236}">
              <a16:creationId xmlns:a16="http://schemas.microsoft.com/office/drawing/2014/main" xmlns="" id="{60F8F882-4B85-4477-9C7A-D48019580AF0}"/>
            </a:ext>
          </a:extLst>
        </xdr:cNvPr>
        <xdr:cNvSpPr/>
      </xdr:nvSpPr>
      <xdr:spPr bwMode="auto">
        <a:xfrm>
          <a:off x="13434762" y="1220703"/>
          <a:ext cx="1544554" cy="513849"/>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23</xdr:col>
      <xdr:colOff>25568</xdr:colOff>
      <xdr:row>4</xdr:row>
      <xdr:rowOff>7519</xdr:rowOff>
    </xdr:from>
    <xdr:ext cx="1518485" cy="483769"/>
    <xdr:sp macro="" textlink="">
      <xdr:nvSpPr>
        <xdr:cNvPr id="22" name="Drop Down 4">
          <a:extLst>
            <a:ext uri="{FF2B5EF4-FFF2-40B4-BE49-F238E27FC236}">
              <a16:creationId xmlns:a16="http://schemas.microsoft.com/office/drawing/2014/main" xmlns="" id="{B9213F0C-D4AB-4B25-98CB-4AD9AADE892A}"/>
            </a:ext>
          </a:extLst>
        </xdr:cNvPr>
        <xdr:cNvSpPr/>
      </xdr:nvSpPr>
      <xdr:spPr bwMode="auto">
        <a:xfrm>
          <a:off x="16779542" y="1200651"/>
          <a:ext cx="1518485" cy="483769"/>
        </a:xfrm>
        <a:prstGeom prst="rect">
          <a:avLst/>
        </a:prstGeom>
        <a:blipFill>
          <a:blip xmlns:r="http://schemas.openxmlformats.org/officeDocument/2006/relationships" r:embed="rId4"/>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27</xdr:col>
      <xdr:colOff>21054</xdr:colOff>
      <xdr:row>4</xdr:row>
      <xdr:rowOff>27071</xdr:rowOff>
    </xdr:from>
    <xdr:ext cx="1252287" cy="464217"/>
    <xdr:sp macro="" textlink="">
      <xdr:nvSpPr>
        <xdr:cNvPr id="23" name="Drop Down 5">
          <a:extLst>
            <a:ext uri="{FF2B5EF4-FFF2-40B4-BE49-F238E27FC236}">
              <a16:creationId xmlns:a16="http://schemas.microsoft.com/office/drawing/2014/main" xmlns="" id="{E81DE35D-2CB7-4EDD-A539-E345D577F86C}"/>
            </a:ext>
          </a:extLst>
        </xdr:cNvPr>
        <xdr:cNvSpPr/>
      </xdr:nvSpPr>
      <xdr:spPr bwMode="auto">
        <a:xfrm>
          <a:off x="21617738" y="1220203"/>
          <a:ext cx="1252287" cy="464217"/>
        </a:xfrm>
        <a:prstGeom prst="rect">
          <a:avLst/>
        </a:prstGeom>
        <a:blipFill>
          <a:blip xmlns:r="http://schemas.openxmlformats.org/officeDocument/2006/relationships" r:embed="rId5"/>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Sustainability</a:t>
          </a:r>
        </a:p>
      </xdr:txBody>
    </xdr:sp>
    <xdr:clientData/>
  </xdr:oneCellAnchor>
  <xdr:oneCellAnchor>
    <xdr:from>
      <xdr:col>11</xdr:col>
      <xdr:colOff>88732</xdr:colOff>
      <xdr:row>4</xdr:row>
      <xdr:rowOff>37099</xdr:rowOff>
    </xdr:from>
    <xdr:ext cx="1555583" cy="424111"/>
    <xdr:sp macro="" textlink="">
      <xdr:nvSpPr>
        <xdr:cNvPr id="24" name="Drop Down 2">
          <a:extLst>
            <a:ext uri="{FF2B5EF4-FFF2-40B4-BE49-F238E27FC236}">
              <a16:creationId xmlns:a16="http://schemas.microsoft.com/office/drawing/2014/main" xmlns="" id="{0D37CEC4-7868-4A8E-AE55-3ED0A8E839E1}"/>
            </a:ext>
          </a:extLst>
        </xdr:cNvPr>
        <xdr:cNvSpPr/>
      </xdr:nvSpPr>
      <xdr:spPr bwMode="auto">
        <a:xfrm>
          <a:off x="8450679" y="1230231"/>
          <a:ext cx="1555583"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12</xdr:col>
      <xdr:colOff>88733</xdr:colOff>
      <xdr:row>4</xdr:row>
      <xdr:rowOff>37098</xdr:rowOff>
    </xdr:from>
    <xdr:ext cx="1485399" cy="414086"/>
    <xdr:sp macro="" textlink="">
      <xdr:nvSpPr>
        <xdr:cNvPr id="25" name="Drop Down 2">
          <a:extLst>
            <a:ext uri="{FF2B5EF4-FFF2-40B4-BE49-F238E27FC236}">
              <a16:creationId xmlns:a16="http://schemas.microsoft.com/office/drawing/2014/main" xmlns="" id="{0D37CEC4-7868-4A8E-AE55-3ED0A8E839E1}"/>
            </a:ext>
          </a:extLst>
        </xdr:cNvPr>
        <xdr:cNvSpPr/>
      </xdr:nvSpPr>
      <xdr:spPr bwMode="auto">
        <a:xfrm>
          <a:off x="10034838" y="1230230"/>
          <a:ext cx="1485399" cy="41408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18</xdr:col>
      <xdr:colOff>59657</xdr:colOff>
      <xdr:row>4</xdr:row>
      <xdr:rowOff>27571</xdr:rowOff>
    </xdr:from>
    <xdr:ext cx="1544554" cy="513849"/>
    <xdr:sp macro="" textlink="">
      <xdr:nvSpPr>
        <xdr:cNvPr id="26" name="Drop Down 3">
          <a:extLst>
            <a:ext uri="{FF2B5EF4-FFF2-40B4-BE49-F238E27FC236}">
              <a16:creationId xmlns:a16="http://schemas.microsoft.com/office/drawing/2014/main" xmlns="" id="{60F8F882-4B85-4477-9C7A-D48019580AF0}"/>
            </a:ext>
          </a:extLst>
        </xdr:cNvPr>
        <xdr:cNvSpPr/>
      </xdr:nvSpPr>
      <xdr:spPr bwMode="auto">
        <a:xfrm>
          <a:off x="13404683" y="1220703"/>
          <a:ext cx="1544554" cy="513849"/>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12</xdr:col>
      <xdr:colOff>88732</xdr:colOff>
      <xdr:row>4</xdr:row>
      <xdr:rowOff>37099</xdr:rowOff>
    </xdr:from>
    <xdr:ext cx="1555583" cy="424111"/>
    <xdr:sp macro="" textlink="">
      <xdr:nvSpPr>
        <xdr:cNvPr id="27" name="Drop Down 2">
          <a:extLst>
            <a:ext uri="{FF2B5EF4-FFF2-40B4-BE49-F238E27FC236}">
              <a16:creationId xmlns:a16="http://schemas.microsoft.com/office/drawing/2014/main" xmlns="" id="{0D37CEC4-7868-4A8E-AE55-3ED0A8E839E1}"/>
            </a:ext>
          </a:extLst>
        </xdr:cNvPr>
        <xdr:cNvSpPr/>
      </xdr:nvSpPr>
      <xdr:spPr bwMode="auto">
        <a:xfrm>
          <a:off x="8449565" y="1233016"/>
          <a:ext cx="1555583"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13</xdr:col>
      <xdr:colOff>88733</xdr:colOff>
      <xdr:row>4</xdr:row>
      <xdr:rowOff>37098</xdr:rowOff>
    </xdr:from>
    <xdr:ext cx="1485399" cy="414086"/>
    <xdr:sp macro="" textlink="">
      <xdr:nvSpPr>
        <xdr:cNvPr id="28" name="Drop Down 2">
          <a:extLst>
            <a:ext uri="{FF2B5EF4-FFF2-40B4-BE49-F238E27FC236}">
              <a16:creationId xmlns:a16="http://schemas.microsoft.com/office/drawing/2014/main" xmlns="" id="{0D37CEC4-7868-4A8E-AE55-3ED0A8E839E1}"/>
            </a:ext>
          </a:extLst>
        </xdr:cNvPr>
        <xdr:cNvSpPr/>
      </xdr:nvSpPr>
      <xdr:spPr bwMode="auto">
        <a:xfrm>
          <a:off x="10026483" y="1233015"/>
          <a:ext cx="1485399" cy="41408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20</xdr:col>
      <xdr:colOff>0</xdr:colOff>
      <xdr:row>4</xdr:row>
      <xdr:rowOff>27571</xdr:rowOff>
    </xdr:from>
    <xdr:ext cx="1544554" cy="513849"/>
    <xdr:sp macro="" textlink="">
      <xdr:nvSpPr>
        <xdr:cNvPr id="29" name="Drop Down 3">
          <a:extLst>
            <a:ext uri="{FF2B5EF4-FFF2-40B4-BE49-F238E27FC236}">
              <a16:creationId xmlns:a16="http://schemas.microsoft.com/office/drawing/2014/main" xmlns="" id="{60F8F882-4B85-4477-9C7A-D48019580AF0}"/>
            </a:ext>
          </a:extLst>
        </xdr:cNvPr>
        <xdr:cNvSpPr/>
      </xdr:nvSpPr>
      <xdr:spPr bwMode="auto">
        <a:xfrm>
          <a:off x="13394657" y="1223488"/>
          <a:ext cx="1544554" cy="513849"/>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19</xdr:col>
      <xdr:colOff>59657</xdr:colOff>
      <xdr:row>4</xdr:row>
      <xdr:rowOff>27571</xdr:rowOff>
    </xdr:from>
    <xdr:ext cx="1544554" cy="513849"/>
    <xdr:sp macro="" textlink="">
      <xdr:nvSpPr>
        <xdr:cNvPr id="30" name="Drop Down 3">
          <a:extLst>
            <a:ext uri="{FF2B5EF4-FFF2-40B4-BE49-F238E27FC236}">
              <a16:creationId xmlns:a16="http://schemas.microsoft.com/office/drawing/2014/main" xmlns="" id="{60F8F882-4B85-4477-9C7A-D48019580AF0}"/>
            </a:ext>
          </a:extLst>
        </xdr:cNvPr>
        <xdr:cNvSpPr/>
      </xdr:nvSpPr>
      <xdr:spPr bwMode="auto">
        <a:xfrm>
          <a:off x="13394657" y="1223488"/>
          <a:ext cx="1544554" cy="513849"/>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oneCellAnchor>
    <xdr:from>
      <xdr:col>24</xdr:col>
      <xdr:colOff>25568</xdr:colOff>
      <xdr:row>4</xdr:row>
      <xdr:rowOff>7519</xdr:rowOff>
    </xdr:from>
    <xdr:ext cx="1518485" cy="483769"/>
    <xdr:sp macro="" textlink="">
      <xdr:nvSpPr>
        <xdr:cNvPr id="31" name="Drop Down 4">
          <a:extLst>
            <a:ext uri="{FF2B5EF4-FFF2-40B4-BE49-F238E27FC236}">
              <a16:creationId xmlns:a16="http://schemas.microsoft.com/office/drawing/2014/main" xmlns="" id="{B9213F0C-D4AB-4B25-98CB-4AD9AADE892A}"/>
            </a:ext>
          </a:extLst>
        </xdr:cNvPr>
        <xdr:cNvSpPr/>
      </xdr:nvSpPr>
      <xdr:spPr bwMode="auto">
        <a:xfrm>
          <a:off x="16747235" y="1203436"/>
          <a:ext cx="1518485" cy="483769"/>
        </a:xfrm>
        <a:prstGeom prst="rect">
          <a:avLst/>
        </a:prstGeom>
        <a:blipFill>
          <a:blip xmlns:r="http://schemas.openxmlformats.org/officeDocument/2006/relationships" r:embed="rId4"/>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 Implementation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4"/>
  <sheetViews>
    <sheetView topLeftCell="A5" zoomScale="75" zoomScaleNormal="75" zoomScaleSheetLayoutView="75" zoomScalePageLayoutView="75" workbookViewId="0">
      <selection activeCell="C7" sqref="C7:F7"/>
    </sheetView>
  </sheetViews>
  <sheetFormatPr defaultColWidth="9" defaultRowHeight="12.75" x14ac:dyDescent="0.2"/>
  <cols>
    <col min="1" max="1" width="28.42578125" style="148" customWidth="1"/>
    <col min="2" max="2" width="23.5703125" style="148" customWidth="1"/>
    <col min="3" max="3" width="19" style="148" customWidth="1"/>
    <col min="4" max="4" width="26.5703125" style="148" customWidth="1"/>
    <col min="5" max="5" width="9" style="148"/>
    <col min="6" max="6" width="41.28515625" style="148" customWidth="1"/>
    <col min="7" max="16384" width="9" style="148"/>
  </cols>
  <sheetData>
    <row r="1" spans="1:6" ht="11.25" customHeight="1" x14ac:dyDescent="0.2"/>
    <row r="2" spans="1:6" ht="15.75" x14ac:dyDescent="0.25">
      <c r="A2" s="272" t="s">
        <v>146</v>
      </c>
      <c r="B2" s="272"/>
      <c r="C2" s="272"/>
      <c r="D2" s="272"/>
      <c r="E2" s="272"/>
      <c r="F2" s="272"/>
    </row>
    <row r="3" spans="1:6" ht="27" customHeight="1" x14ac:dyDescent="0.2">
      <c r="A3" s="273" t="s">
        <v>54</v>
      </c>
      <c r="B3" s="274"/>
      <c r="C3" s="274"/>
      <c r="D3" s="275"/>
      <c r="E3" s="276" t="s">
        <v>147</v>
      </c>
      <c r="F3" s="277"/>
    </row>
    <row r="4" spans="1:6" ht="27" customHeight="1" thickBot="1" x14ac:dyDescent="0.25">
      <c r="A4" s="278" t="s">
        <v>55</v>
      </c>
      <c r="B4" s="279"/>
      <c r="C4" s="279"/>
      <c r="D4" s="279"/>
      <c r="E4" s="279"/>
      <c r="F4" s="279"/>
    </row>
    <row r="5" spans="1:6" ht="60" customHeight="1" x14ac:dyDescent="0.2">
      <c r="A5" s="149" t="s">
        <v>56</v>
      </c>
      <c r="B5" s="241" t="s">
        <v>57</v>
      </c>
      <c r="C5" s="280" t="s">
        <v>58</v>
      </c>
      <c r="D5" s="280"/>
      <c r="E5" s="280"/>
      <c r="F5" s="281"/>
    </row>
    <row r="6" spans="1:6" s="151" customFormat="1" ht="252" customHeight="1" x14ac:dyDescent="0.2">
      <c r="A6" s="242" t="s">
        <v>59</v>
      </c>
      <c r="B6" s="150" t="s">
        <v>60</v>
      </c>
      <c r="C6" s="267" t="s">
        <v>188</v>
      </c>
      <c r="D6" s="267"/>
      <c r="E6" s="267"/>
      <c r="F6" s="268"/>
    </row>
    <row r="7" spans="1:6" s="154" customFormat="1" ht="291.75" customHeight="1" thickBot="1" x14ac:dyDescent="0.25">
      <c r="A7" s="152" t="s">
        <v>61</v>
      </c>
      <c r="B7" s="153" t="s">
        <v>62</v>
      </c>
      <c r="C7" s="269" t="s">
        <v>189</v>
      </c>
      <c r="D7" s="270"/>
      <c r="E7" s="270"/>
      <c r="F7" s="271"/>
    </row>
    <row r="8" spans="1:6" s="154" customFormat="1" ht="409.6" customHeight="1" x14ac:dyDescent="0.2">
      <c r="A8" s="155"/>
      <c r="B8" s="156"/>
      <c r="C8" s="282" t="s">
        <v>190</v>
      </c>
      <c r="D8" s="283"/>
      <c r="E8" s="283"/>
      <c r="F8" s="284"/>
    </row>
    <row r="9" spans="1:6" s="154" customFormat="1" ht="96" customHeight="1" x14ac:dyDescent="0.2">
      <c r="A9" s="157" t="s">
        <v>61</v>
      </c>
      <c r="B9" s="150" t="s">
        <v>148</v>
      </c>
      <c r="C9" s="264" t="s">
        <v>191</v>
      </c>
      <c r="D9" s="265"/>
      <c r="E9" s="265"/>
      <c r="F9" s="266"/>
    </row>
    <row r="10" spans="1:6" s="154" customFormat="1" ht="158.25" customHeight="1" x14ac:dyDescent="0.2">
      <c r="A10" s="242" t="s">
        <v>63</v>
      </c>
      <c r="B10" s="150" t="s">
        <v>64</v>
      </c>
      <c r="C10" s="267" t="s">
        <v>192</v>
      </c>
      <c r="D10" s="267"/>
      <c r="E10" s="267"/>
      <c r="F10" s="268"/>
    </row>
    <row r="11" spans="1:6" s="154" customFormat="1" ht="249" customHeight="1" x14ac:dyDescent="0.2">
      <c r="A11" s="242"/>
      <c r="B11" s="150"/>
      <c r="C11" s="264" t="s">
        <v>193</v>
      </c>
      <c r="D11" s="265"/>
      <c r="E11" s="265"/>
      <c r="F11" s="266"/>
    </row>
    <row r="12" spans="1:6" s="154" customFormat="1" ht="211.5" customHeight="1" x14ac:dyDescent="0.2">
      <c r="A12" s="158" t="s">
        <v>65</v>
      </c>
      <c r="B12" s="150" t="s">
        <v>66</v>
      </c>
      <c r="C12" s="264" t="s">
        <v>194</v>
      </c>
      <c r="D12" s="265"/>
      <c r="E12" s="265"/>
      <c r="F12" s="266"/>
    </row>
    <row r="13" spans="1:6" s="159" customFormat="1" ht="381" customHeight="1" x14ac:dyDescent="0.2">
      <c r="A13" s="242" t="s">
        <v>67</v>
      </c>
      <c r="B13" s="150" t="s">
        <v>68</v>
      </c>
      <c r="C13" s="264" t="s">
        <v>195</v>
      </c>
      <c r="D13" s="265"/>
      <c r="E13" s="265"/>
      <c r="F13" s="266"/>
    </row>
    <row r="14" spans="1:6" s="151" customFormat="1" ht="262.5" customHeight="1" x14ac:dyDescent="0.2">
      <c r="A14" s="242" t="s">
        <v>69</v>
      </c>
      <c r="B14" s="150" t="s">
        <v>68</v>
      </c>
      <c r="C14" s="267" t="s">
        <v>196</v>
      </c>
      <c r="D14" s="267"/>
      <c r="E14" s="267"/>
      <c r="F14" s="268"/>
    </row>
    <row r="15" spans="1:6" s="151" customFormat="1" ht="300" customHeight="1" x14ac:dyDescent="0.2">
      <c r="A15" s="242"/>
      <c r="B15" s="150"/>
      <c r="C15" s="264" t="s">
        <v>197</v>
      </c>
      <c r="D15" s="265"/>
      <c r="E15" s="265"/>
      <c r="F15" s="266"/>
    </row>
    <row r="16" spans="1:6" s="159" customFormat="1" ht="260.25" customHeight="1" x14ac:dyDescent="0.2">
      <c r="A16" s="242" t="s">
        <v>70</v>
      </c>
      <c r="B16" s="150" t="s">
        <v>71</v>
      </c>
      <c r="C16" s="264" t="s">
        <v>198</v>
      </c>
      <c r="D16" s="265"/>
      <c r="E16" s="265"/>
      <c r="F16" s="266"/>
    </row>
    <row r="17" spans="1:6" s="159" customFormat="1" ht="96" customHeight="1" thickBot="1" x14ac:dyDescent="0.25">
      <c r="A17" s="243" t="s">
        <v>72</v>
      </c>
      <c r="B17" s="160" t="s">
        <v>73</v>
      </c>
      <c r="C17" s="269" t="s">
        <v>199</v>
      </c>
      <c r="D17" s="270"/>
      <c r="E17" s="270"/>
      <c r="F17" s="271"/>
    </row>
    <row r="18" spans="1:6" s="154" customFormat="1" ht="15" x14ac:dyDescent="0.2">
      <c r="B18" s="161"/>
      <c r="D18" s="161"/>
    </row>
    <row r="19" spans="1:6" s="154" customFormat="1" ht="15" x14ac:dyDescent="0.2">
      <c r="B19" s="161"/>
      <c r="D19" s="161"/>
    </row>
    <row r="20" spans="1:6" s="154" customFormat="1" ht="15" x14ac:dyDescent="0.2">
      <c r="B20" s="161"/>
      <c r="D20" s="161"/>
    </row>
    <row r="21" spans="1:6" s="154" customFormat="1" ht="15" x14ac:dyDescent="0.2">
      <c r="B21" s="161"/>
      <c r="D21" s="161"/>
    </row>
    <row r="22" spans="1:6" s="154" customFormat="1" ht="15" x14ac:dyDescent="0.2">
      <c r="B22" s="161"/>
      <c r="D22" s="161"/>
    </row>
    <row r="23" spans="1:6" s="154" customFormat="1" ht="15" x14ac:dyDescent="0.2">
      <c r="B23" s="161"/>
      <c r="D23" s="161"/>
    </row>
    <row r="24" spans="1:6" s="154" customFormat="1" ht="15" x14ac:dyDescent="0.2">
      <c r="B24" s="161"/>
      <c r="D24" s="161"/>
    </row>
    <row r="25" spans="1:6" s="154" customFormat="1" ht="15" x14ac:dyDescent="0.2">
      <c r="B25" s="161"/>
      <c r="D25" s="161"/>
    </row>
    <row r="26" spans="1:6" s="154" customFormat="1" ht="15" x14ac:dyDescent="0.2">
      <c r="B26" s="161"/>
      <c r="D26" s="161"/>
    </row>
    <row r="27" spans="1:6" s="154" customFormat="1" ht="15" x14ac:dyDescent="0.2">
      <c r="B27" s="161"/>
      <c r="D27" s="161"/>
    </row>
    <row r="28" spans="1:6" s="154" customFormat="1" ht="15" x14ac:dyDescent="0.2">
      <c r="B28" s="161"/>
      <c r="D28" s="161"/>
    </row>
    <row r="29" spans="1:6" s="154" customFormat="1" ht="15" x14ac:dyDescent="0.2">
      <c r="B29" s="161"/>
      <c r="D29" s="161"/>
    </row>
    <row r="30" spans="1:6" s="154" customFormat="1" ht="15" x14ac:dyDescent="0.2">
      <c r="B30" s="161"/>
      <c r="D30" s="161"/>
    </row>
    <row r="31" spans="1:6" x14ac:dyDescent="0.2">
      <c r="B31" s="162"/>
      <c r="D31" s="162"/>
    </row>
    <row r="32" spans="1:6" x14ac:dyDescent="0.2">
      <c r="B32" s="162"/>
      <c r="D32" s="162"/>
    </row>
    <row r="33" spans="2:4" x14ac:dyDescent="0.2">
      <c r="B33" s="162"/>
      <c r="D33" s="162"/>
    </row>
    <row r="34" spans="2:4" x14ac:dyDescent="0.2">
      <c r="B34" s="162"/>
      <c r="D34" s="162"/>
    </row>
    <row r="35" spans="2:4" x14ac:dyDescent="0.2">
      <c r="B35" s="162"/>
      <c r="D35" s="162"/>
    </row>
    <row r="36" spans="2:4" x14ac:dyDescent="0.2">
      <c r="B36" s="162"/>
      <c r="D36" s="162"/>
    </row>
    <row r="37" spans="2:4" x14ac:dyDescent="0.2">
      <c r="B37" s="162"/>
      <c r="D37" s="162"/>
    </row>
    <row r="38" spans="2:4" x14ac:dyDescent="0.2">
      <c r="B38" s="162"/>
      <c r="D38" s="162"/>
    </row>
    <row r="39" spans="2:4" x14ac:dyDescent="0.2">
      <c r="B39" s="162"/>
      <c r="D39" s="162"/>
    </row>
    <row r="40" spans="2:4" x14ac:dyDescent="0.2">
      <c r="B40" s="162"/>
      <c r="D40" s="162"/>
    </row>
    <row r="41" spans="2:4" x14ac:dyDescent="0.2">
      <c r="B41" s="162"/>
      <c r="D41" s="162"/>
    </row>
    <row r="42" spans="2:4" x14ac:dyDescent="0.2">
      <c r="B42" s="162"/>
      <c r="D42" s="162"/>
    </row>
    <row r="43" spans="2:4" x14ac:dyDescent="0.2">
      <c r="B43" s="162"/>
      <c r="D43" s="162"/>
    </row>
    <row r="44" spans="2:4" x14ac:dyDescent="0.2">
      <c r="B44" s="162"/>
      <c r="D44" s="162"/>
    </row>
    <row r="45" spans="2:4" x14ac:dyDescent="0.2">
      <c r="B45" s="162"/>
      <c r="D45" s="162"/>
    </row>
    <row r="46" spans="2:4" x14ac:dyDescent="0.2">
      <c r="B46" s="162"/>
      <c r="D46" s="162"/>
    </row>
    <row r="47" spans="2:4" x14ac:dyDescent="0.2">
      <c r="B47" s="162"/>
      <c r="D47" s="162"/>
    </row>
    <row r="48" spans="2:4" x14ac:dyDescent="0.2">
      <c r="B48" s="162"/>
      <c r="D48" s="162"/>
    </row>
    <row r="49" spans="2:4" x14ac:dyDescent="0.2">
      <c r="B49" s="162"/>
      <c r="D49" s="162"/>
    </row>
    <row r="50" spans="2:4" x14ac:dyDescent="0.2">
      <c r="B50" s="162"/>
      <c r="D50" s="162"/>
    </row>
    <row r="51" spans="2:4" x14ac:dyDescent="0.2">
      <c r="B51" s="162"/>
      <c r="D51" s="162"/>
    </row>
    <row r="52" spans="2:4" x14ac:dyDescent="0.2">
      <c r="B52" s="162"/>
      <c r="D52" s="162"/>
    </row>
    <row r="53" spans="2:4" x14ac:dyDescent="0.2">
      <c r="B53" s="162"/>
      <c r="D53" s="162"/>
    </row>
    <row r="54" spans="2:4" x14ac:dyDescent="0.2">
      <c r="B54" s="162"/>
      <c r="D54" s="162"/>
    </row>
    <row r="55" spans="2:4" x14ac:dyDescent="0.2">
      <c r="B55" s="162"/>
      <c r="D55" s="162"/>
    </row>
    <row r="56" spans="2:4" x14ac:dyDescent="0.2">
      <c r="B56" s="162"/>
      <c r="D56" s="162"/>
    </row>
    <row r="57" spans="2:4" x14ac:dyDescent="0.2">
      <c r="B57" s="162"/>
      <c r="D57" s="162"/>
    </row>
    <row r="58" spans="2:4" x14ac:dyDescent="0.2">
      <c r="B58" s="162"/>
      <c r="D58" s="162"/>
    </row>
    <row r="59" spans="2:4" x14ac:dyDescent="0.2">
      <c r="B59" s="162"/>
      <c r="D59" s="162"/>
    </row>
    <row r="60" spans="2:4" x14ac:dyDescent="0.2">
      <c r="B60" s="162"/>
      <c r="D60" s="162"/>
    </row>
    <row r="61" spans="2:4" x14ac:dyDescent="0.2">
      <c r="B61" s="162"/>
      <c r="D61" s="162"/>
    </row>
    <row r="62" spans="2:4" x14ac:dyDescent="0.2">
      <c r="B62" s="162"/>
      <c r="D62" s="162"/>
    </row>
    <row r="63" spans="2:4" x14ac:dyDescent="0.2">
      <c r="B63" s="162"/>
      <c r="D63" s="162"/>
    </row>
    <row r="64" spans="2:4" x14ac:dyDescent="0.2">
      <c r="B64" s="162"/>
      <c r="D64" s="162"/>
    </row>
    <row r="65" spans="2:4" x14ac:dyDescent="0.2">
      <c r="B65" s="162"/>
      <c r="D65" s="162"/>
    </row>
    <row r="66" spans="2:4" x14ac:dyDescent="0.2">
      <c r="B66" s="162"/>
      <c r="D66" s="162"/>
    </row>
    <row r="67" spans="2:4" x14ac:dyDescent="0.2">
      <c r="B67" s="162"/>
      <c r="D67" s="162"/>
    </row>
    <row r="68" spans="2:4" x14ac:dyDescent="0.2">
      <c r="B68" s="162"/>
      <c r="D68" s="162"/>
    </row>
    <row r="69" spans="2:4" x14ac:dyDescent="0.2">
      <c r="B69" s="162"/>
      <c r="D69" s="162"/>
    </row>
    <row r="70" spans="2:4" x14ac:dyDescent="0.2">
      <c r="B70" s="162"/>
      <c r="D70" s="162"/>
    </row>
    <row r="71" spans="2:4" x14ac:dyDescent="0.2">
      <c r="B71" s="162"/>
      <c r="D71" s="162"/>
    </row>
    <row r="72" spans="2:4" x14ac:dyDescent="0.2">
      <c r="B72" s="162"/>
      <c r="D72" s="162"/>
    </row>
    <row r="73" spans="2:4" x14ac:dyDescent="0.2">
      <c r="B73" s="162"/>
      <c r="D73" s="162"/>
    </row>
    <row r="74" spans="2:4" x14ac:dyDescent="0.2">
      <c r="B74" s="162"/>
      <c r="D74" s="162"/>
    </row>
    <row r="75" spans="2:4" x14ac:dyDescent="0.2">
      <c r="B75" s="162"/>
      <c r="D75" s="162"/>
    </row>
    <row r="76" spans="2:4" x14ac:dyDescent="0.2">
      <c r="B76" s="162"/>
      <c r="D76" s="162"/>
    </row>
    <row r="77" spans="2:4" x14ac:dyDescent="0.2">
      <c r="B77" s="162"/>
      <c r="D77" s="162"/>
    </row>
    <row r="78" spans="2:4" x14ac:dyDescent="0.2">
      <c r="B78" s="162"/>
      <c r="D78" s="162"/>
    </row>
    <row r="79" spans="2:4" x14ac:dyDescent="0.2">
      <c r="B79" s="162"/>
      <c r="D79" s="162"/>
    </row>
    <row r="80" spans="2:4" x14ac:dyDescent="0.2">
      <c r="B80" s="162"/>
      <c r="D80" s="162"/>
    </row>
    <row r="81" spans="2:4" x14ac:dyDescent="0.2">
      <c r="B81" s="162"/>
      <c r="D81" s="162"/>
    </row>
    <row r="82" spans="2:4" x14ac:dyDescent="0.2">
      <c r="B82" s="162"/>
      <c r="D82" s="162"/>
    </row>
    <row r="83" spans="2:4" x14ac:dyDescent="0.2">
      <c r="B83" s="162"/>
      <c r="D83" s="162"/>
    </row>
    <row r="84" spans="2:4" x14ac:dyDescent="0.2">
      <c r="B84" s="162"/>
      <c r="D84" s="162"/>
    </row>
    <row r="85" spans="2:4" x14ac:dyDescent="0.2">
      <c r="B85" s="162"/>
      <c r="D85" s="162"/>
    </row>
    <row r="86" spans="2:4" x14ac:dyDescent="0.2">
      <c r="B86" s="162"/>
      <c r="D86" s="162"/>
    </row>
    <row r="87" spans="2:4" x14ac:dyDescent="0.2">
      <c r="B87" s="162"/>
      <c r="D87" s="162"/>
    </row>
    <row r="88" spans="2:4" x14ac:dyDescent="0.2">
      <c r="B88" s="162"/>
      <c r="D88" s="162"/>
    </row>
    <row r="89" spans="2:4" x14ac:dyDescent="0.2">
      <c r="B89" s="162"/>
      <c r="D89" s="162"/>
    </row>
    <row r="90" spans="2:4" x14ac:dyDescent="0.2">
      <c r="B90" s="162"/>
      <c r="D90" s="162"/>
    </row>
    <row r="91" spans="2:4" x14ac:dyDescent="0.2">
      <c r="B91" s="162"/>
      <c r="D91" s="162"/>
    </row>
    <row r="92" spans="2:4" x14ac:dyDescent="0.2">
      <c r="B92" s="162"/>
      <c r="D92" s="162"/>
    </row>
    <row r="93" spans="2:4" x14ac:dyDescent="0.2">
      <c r="B93" s="162"/>
      <c r="D93" s="162"/>
    </row>
    <row r="94" spans="2:4" x14ac:dyDescent="0.2">
      <c r="B94" s="162"/>
      <c r="D94" s="162"/>
    </row>
    <row r="95" spans="2:4" x14ac:dyDescent="0.2">
      <c r="B95" s="162"/>
      <c r="D95" s="162"/>
    </row>
    <row r="96" spans="2:4" x14ac:dyDescent="0.2">
      <c r="B96" s="162"/>
      <c r="D96" s="162"/>
    </row>
    <row r="97" spans="2:4" x14ac:dyDescent="0.2">
      <c r="B97" s="162"/>
      <c r="D97" s="162"/>
    </row>
    <row r="98" spans="2:4" x14ac:dyDescent="0.2">
      <c r="B98" s="162"/>
      <c r="D98" s="162"/>
    </row>
    <row r="99" spans="2:4" x14ac:dyDescent="0.2">
      <c r="B99" s="162"/>
      <c r="D99" s="162"/>
    </row>
    <row r="100" spans="2:4" x14ac:dyDescent="0.2">
      <c r="B100" s="162"/>
      <c r="D100" s="162"/>
    </row>
    <row r="101" spans="2:4" x14ac:dyDescent="0.2">
      <c r="B101" s="162"/>
      <c r="D101" s="162"/>
    </row>
    <row r="102" spans="2:4" x14ac:dyDescent="0.2">
      <c r="B102" s="162"/>
      <c r="D102" s="162"/>
    </row>
    <row r="103" spans="2:4" x14ac:dyDescent="0.2">
      <c r="B103" s="162"/>
      <c r="D103" s="162"/>
    </row>
    <row r="104" spans="2:4" x14ac:dyDescent="0.2">
      <c r="B104" s="162"/>
      <c r="D104" s="162"/>
    </row>
    <row r="105" spans="2:4" x14ac:dyDescent="0.2">
      <c r="B105" s="162"/>
      <c r="D105" s="162"/>
    </row>
    <row r="106" spans="2:4" x14ac:dyDescent="0.2">
      <c r="B106" s="162"/>
      <c r="D106" s="162"/>
    </row>
    <row r="107" spans="2:4" x14ac:dyDescent="0.2">
      <c r="B107" s="162"/>
      <c r="D107" s="162"/>
    </row>
    <row r="108" spans="2:4" x14ac:dyDescent="0.2">
      <c r="B108" s="162"/>
      <c r="D108" s="162"/>
    </row>
    <row r="109" spans="2:4" x14ac:dyDescent="0.2">
      <c r="B109" s="162"/>
      <c r="D109" s="162"/>
    </row>
    <row r="110" spans="2:4" x14ac:dyDescent="0.2">
      <c r="B110" s="162"/>
      <c r="D110" s="162"/>
    </row>
    <row r="111" spans="2:4" x14ac:dyDescent="0.2">
      <c r="B111" s="162"/>
      <c r="D111" s="162"/>
    </row>
    <row r="112" spans="2:4" x14ac:dyDescent="0.2">
      <c r="B112" s="162"/>
      <c r="D112" s="162"/>
    </row>
    <row r="113" spans="2:4" x14ac:dyDescent="0.2">
      <c r="B113" s="162"/>
      <c r="D113" s="162"/>
    </row>
    <row r="114" spans="2:4" x14ac:dyDescent="0.2">
      <c r="B114" s="162"/>
      <c r="D114" s="162"/>
    </row>
    <row r="115" spans="2:4" x14ac:dyDescent="0.2">
      <c r="B115" s="162"/>
      <c r="D115" s="162"/>
    </row>
    <row r="116" spans="2:4" x14ac:dyDescent="0.2">
      <c r="B116" s="162"/>
      <c r="D116" s="162"/>
    </row>
    <row r="117" spans="2:4" x14ac:dyDescent="0.2">
      <c r="B117" s="162"/>
      <c r="D117" s="162"/>
    </row>
    <row r="118" spans="2:4" x14ac:dyDescent="0.2">
      <c r="B118" s="162"/>
      <c r="D118" s="162"/>
    </row>
    <row r="119" spans="2:4" x14ac:dyDescent="0.2">
      <c r="B119" s="162"/>
      <c r="D119" s="162"/>
    </row>
    <row r="120" spans="2:4" x14ac:dyDescent="0.2">
      <c r="B120" s="162"/>
      <c r="D120" s="162"/>
    </row>
    <row r="121" spans="2:4" x14ac:dyDescent="0.2">
      <c r="B121" s="162"/>
      <c r="D121" s="162"/>
    </row>
    <row r="122" spans="2:4" x14ac:dyDescent="0.2">
      <c r="B122" s="162"/>
      <c r="D122" s="162"/>
    </row>
    <row r="123" spans="2:4" x14ac:dyDescent="0.2">
      <c r="B123" s="162"/>
      <c r="D123" s="162"/>
    </row>
    <row r="124" spans="2:4" x14ac:dyDescent="0.2">
      <c r="B124" s="162"/>
      <c r="D124" s="162"/>
    </row>
    <row r="125" spans="2:4" x14ac:dyDescent="0.2">
      <c r="B125" s="162"/>
      <c r="D125" s="162"/>
    </row>
    <row r="126" spans="2:4" x14ac:dyDescent="0.2">
      <c r="B126" s="162"/>
      <c r="D126" s="162"/>
    </row>
    <row r="127" spans="2:4" x14ac:dyDescent="0.2">
      <c r="B127" s="162"/>
      <c r="D127" s="162"/>
    </row>
    <row r="128" spans="2:4" x14ac:dyDescent="0.2">
      <c r="B128" s="162"/>
      <c r="D128" s="162"/>
    </row>
    <row r="129" spans="2:4" x14ac:dyDescent="0.2">
      <c r="B129" s="162"/>
      <c r="D129" s="162"/>
    </row>
    <row r="130" spans="2:4" x14ac:dyDescent="0.2">
      <c r="B130" s="162"/>
      <c r="D130" s="162"/>
    </row>
    <row r="131" spans="2:4" x14ac:dyDescent="0.2">
      <c r="B131" s="162"/>
      <c r="D131" s="162"/>
    </row>
    <row r="132" spans="2:4" x14ac:dyDescent="0.2">
      <c r="B132" s="162"/>
      <c r="D132" s="162"/>
    </row>
    <row r="133" spans="2:4" x14ac:dyDescent="0.2">
      <c r="B133" s="162"/>
      <c r="D133" s="162"/>
    </row>
    <row r="134" spans="2:4" x14ac:dyDescent="0.2">
      <c r="B134" s="162"/>
      <c r="D134" s="162"/>
    </row>
    <row r="135" spans="2:4" x14ac:dyDescent="0.2">
      <c r="B135" s="162"/>
      <c r="D135" s="162"/>
    </row>
    <row r="136" spans="2:4" x14ac:dyDescent="0.2">
      <c r="B136" s="162"/>
      <c r="D136" s="162"/>
    </row>
    <row r="137" spans="2:4" x14ac:dyDescent="0.2">
      <c r="B137" s="162"/>
      <c r="D137" s="162"/>
    </row>
    <row r="138" spans="2:4" x14ac:dyDescent="0.2">
      <c r="B138" s="162"/>
      <c r="D138" s="162"/>
    </row>
    <row r="139" spans="2:4" x14ac:dyDescent="0.2">
      <c r="B139" s="162"/>
      <c r="D139" s="162"/>
    </row>
    <row r="140" spans="2:4" x14ac:dyDescent="0.2">
      <c r="B140" s="162"/>
      <c r="D140" s="162"/>
    </row>
    <row r="141" spans="2:4" x14ac:dyDescent="0.2">
      <c r="B141" s="162"/>
      <c r="D141" s="162"/>
    </row>
    <row r="142" spans="2:4" x14ac:dyDescent="0.2">
      <c r="B142" s="162"/>
      <c r="D142" s="162"/>
    </row>
    <row r="143" spans="2:4" x14ac:dyDescent="0.2">
      <c r="B143" s="162"/>
      <c r="D143" s="162"/>
    </row>
    <row r="144" spans="2:4" x14ac:dyDescent="0.2">
      <c r="B144" s="162"/>
      <c r="D144" s="162"/>
    </row>
    <row r="145" spans="2:4" x14ac:dyDescent="0.2">
      <c r="B145" s="162"/>
      <c r="D145" s="162"/>
    </row>
    <row r="146" spans="2:4" x14ac:dyDescent="0.2">
      <c r="B146" s="162"/>
      <c r="D146" s="162"/>
    </row>
    <row r="147" spans="2:4" x14ac:dyDescent="0.2">
      <c r="B147" s="162"/>
      <c r="D147" s="162"/>
    </row>
    <row r="148" spans="2:4" x14ac:dyDescent="0.2">
      <c r="B148" s="162"/>
      <c r="D148" s="162"/>
    </row>
    <row r="149" spans="2:4" x14ac:dyDescent="0.2">
      <c r="B149" s="162"/>
      <c r="D149" s="162"/>
    </row>
    <row r="150" spans="2:4" x14ac:dyDescent="0.2">
      <c r="B150" s="162"/>
      <c r="D150" s="162"/>
    </row>
    <row r="151" spans="2:4" x14ac:dyDescent="0.2">
      <c r="B151" s="162"/>
      <c r="D151" s="162"/>
    </row>
    <row r="152" spans="2:4" x14ac:dyDescent="0.2">
      <c r="B152" s="162"/>
      <c r="D152" s="162"/>
    </row>
    <row r="153" spans="2:4" x14ac:dyDescent="0.2">
      <c r="B153" s="162"/>
      <c r="D153" s="162"/>
    </row>
    <row r="154" spans="2:4" x14ac:dyDescent="0.2">
      <c r="B154" s="162"/>
      <c r="D154" s="162"/>
    </row>
    <row r="155" spans="2:4" x14ac:dyDescent="0.2">
      <c r="B155" s="162"/>
      <c r="D155" s="162"/>
    </row>
    <row r="156" spans="2:4" x14ac:dyDescent="0.2">
      <c r="B156" s="162"/>
      <c r="D156" s="162"/>
    </row>
    <row r="157" spans="2:4" x14ac:dyDescent="0.2">
      <c r="B157" s="162"/>
      <c r="D157" s="162"/>
    </row>
    <row r="158" spans="2:4" x14ac:dyDescent="0.2">
      <c r="B158" s="162"/>
      <c r="D158" s="162"/>
    </row>
    <row r="159" spans="2:4" x14ac:dyDescent="0.2">
      <c r="B159" s="162"/>
      <c r="D159" s="162"/>
    </row>
    <row r="160" spans="2:4" x14ac:dyDescent="0.2">
      <c r="B160" s="162"/>
      <c r="D160" s="162"/>
    </row>
    <row r="161" spans="2:4" x14ac:dyDescent="0.2">
      <c r="B161" s="162"/>
      <c r="D161" s="162"/>
    </row>
    <row r="162" spans="2:4" x14ac:dyDescent="0.2">
      <c r="B162" s="162"/>
      <c r="D162" s="162"/>
    </row>
    <row r="163" spans="2:4" x14ac:dyDescent="0.2">
      <c r="B163" s="162"/>
      <c r="D163" s="162"/>
    </row>
    <row r="164" spans="2:4" x14ac:dyDescent="0.2">
      <c r="B164" s="162"/>
      <c r="D164" s="162"/>
    </row>
    <row r="165" spans="2:4" x14ac:dyDescent="0.2">
      <c r="B165" s="162"/>
      <c r="D165" s="162"/>
    </row>
    <row r="166" spans="2:4" x14ac:dyDescent="0.2">
      <c r="B166" s="162"/>
      <c r="D166" s="162"/>
    </row>
    <row r="167" spans="2:4" x14ac:dyDescent="0.2">
      <c r="B167" s="162"/>
      <c r="D167" s="162"/>
    </row>
    <row r="168" spans="2:4" x14ac:dyDescent="0.2">
      <c r="B168" s="162"/>
      <c r="D168" s="162"/>
    </row>
    <row r="169" spans="2:4" x14ac:dyDescent="0.2">
      <c r="B169" s="162"/>
      <c r="D169" s="162"/>
    </row>
    <row r="170" spans="2:4" x14ac:dyDescent="0.2">
      <c r="B170" s="162"/>
      <c r="D170" s="162"/>
    </row>
    <row r="171" spans="2:4" x14ac:dyDescent="0.2">
      <c r="B171" s="162"/>
      <c r="D171" s="162"/>
    </row>
    <row r="172" spans="2:4" x14ac:dyDescent="0.2">
      <c r="B172" s="162"/>
      <c r="D172" s="162"/>
    </row>
    <row r="173" spans="2:4" x14ac:dyDescent="0.2">
      <c r="B173" s="162"/>
      <c r="D173" s="162"/>
    </row>
    <row r="174" spans="2:4" x14ac:dyDescent="0.2">
      <c r="B174" s="162"/>
      <c r="D174" s="162"/>
    </row>
    <row r="175" spans="2:4" x14ac:dyDescent="0.2">
      <c r="B175" s="162"/>
      <c r="D175" s="162"/>
    </row>
    <row r="176" spans="2:4" x14ac:dyDescent="0.2">
      <c r="B176" s="162"/>
      <c r="D176" s="162"/>
    </row>
    <row r="177" spans="2:4" x14ac:dyDescent="0.2">
      <c r="B177" s="162"/>
      <c r="D177" s="162"/>
    </row>
    <row r="178" spans="2:4" x14ac:dyDescent="0.2">
      <c r="B178" s="162"/>
      <c r="D178" s="162"/>
    </row>
    <row r="179" spans="2:4" x14ac:dyDescent="0.2">
      <c r="B179" s="162"/>
      <c r="D179" s="162"/>
    </row>
    <row r="180" spans="2:4" x14ac:dyDescent="0.2">
      <c r="B180" s="162"/>
      <c r="D180" s="162"/>
    </row>
    <row r="181" spans="2:4" x14ac:dyDescent="0.2">
      <c r="B181" s="162"/>
      <c r="D181" s="162"/>
    </row>
    <row r="182" spans="2:4" x14ac:dyDescent="0.2">
      <c r="B182" s="162"/>
      <c r="D182" s="162"/>
    </row>
    <row r="183" spans="2:4" x14ac:dyDescent="0.2">
      <c r="B183" s="162"/>
      <c r="D183" s="162"/>
    </row>
    <row r="184" spans="2:4" x14ac:dyDescent="0.2">
      <c r="B184" s="162"/>
      <c r="D184" s="162"/>
    </row>
    <row r="185" spans="2:4" x14ac:dyDescent="0.2">
      <c r="B185" s="162"/>
      <c r="D185" s="162"/>
    </row>
    <row r="186" spans="2:4" x14ac:dyDescent="0.2">
      <c r="B186" s="162"/>
      <c r="D186" s="162"/>
    </row>
    <row r="187" spans="2:4" x14ac:dyDescent="0.2">
      <c r="B187" s="162"/>
      <c r="D187" s="162"/>
    </row>
    <row r="188" spans="2:4" x14ac:dyDescent="0.2">
      <c r="B188" s="162"/>
      <c r="D188" s="162"/>
    </row>
    <row r="189" spans="2:4" x14ac:dyDescent="0.2">
      <c r="B189" s="162"/>
      <c r="D189" s="162"/>
    </row>
    <row r="190" spans="2:4" x14ac:dyDescent="0.2">
      <c r="B190" s="162"/>
      <c r="D190" s="162"/>
    </row>
    <row r="191" spans="2:4" x14ac:dyDescent="0.2">
      <c r="B191" s="162"/>
      <c r="D191" s="162"/>
    </row>
    <row r="192" spans="2:4" x14ac:dyDescent="0.2">
      <c r="B192" s="162"/>
      <c r="D192" s="162"/>
    </row>
    <row r="193" spans="2:4" x14ac:dyDescent="0.2">
      <c r="B193" s="162"/>
      <c r="D193" s="162"/>
    </row>
    <row r="194" spans="2:4" x14ac:dyDescent="0.2">
      <c r="B194" s="162"/>
      <c r="D194" s="162"/>
    </row>
    <row r="195" spans="2:4" x14ac:dyDescent="0.2">
      <c r="B195" s="162"/>
      <c r="D195" s="162"/>
    </row>
    <row r="196" spans="2:4" x14ac:dyDescent="0.2">
      <c r="B196" s="162"/>
      <c r="D196" s="162"/>
    </row>
    <row r="197" spans="2:4" x14ac:dyDescent="0.2">
      <c r="B197" s="162"/>
      <c r="D197" s="162"/>
    </row>
    <row r="198" spans="2:4" x14ac:dyDescent="0.2">
      <c r="B198" s="162"/>
      <c r="D198" s="162"/>
    </row>
    <row r="199" spans="2:4" x14ac:dyDescent="0.2">
      <c r="B199" s="162"/>
      <c r="D199" s="162"/>
    </row>
    <row r="200" spans="2:4" x14ac:dyDescent="0.2">
      <c r="B200" s="162"/>
      <c r="D200" s="162"/>
    </row>
    <row r="201" spans="2:4" x14ac:dyDescent="0.2">
      <c r="B201" s="162"/>
      <c r="D201" s="162"/>
    </row>
    <row r="202" spans="2:4" x14ac:dyDescent="0.2">
      <c r="B202" s="162"/>
      <c r="D202" s="162"/>
    </row>
    <row r="203" spans="2:4" x14ac:dyDescent="0.2">
      <c r="B203" s="162"/>
      <c r="D203" s="162"/>
    </row>
    <row r="204" spans="2:4" x14ac:dyDescent="0.2">
      <c r="B204" s="162"/>
      <c r="D204" s="162"/>
    </row>
    <row r="205" spans="2:4" x14ac:dyDescent="0.2">
      <c r="B205" s="162"/>
      <c r="D205" s="162"/>
    </row>
    <row r="206" spans="2:4" x14ac:dyDescent="0.2">
      <c r="B206" s="162"/>
      <c r="D206" s="162"/>
    </row>
    <row r="207" spans="2:4" x14ac:dyDescent="0.2">
      <c r="B207" s="162"/>
      <c r="D207" s="162"/>
    </row>
    <row r="208" spans="2:4" x14ac:dyDescent="0.2">
      <c r="B208" s="162"/>
      <c r="D208" s="162"/>
    </row>
    <row r="209" spans="2:4" x14ac:dyDescent="0.2">
      <c r="B209" s="162"/>
      <c r="D209" s="162"/>
    </row>
    <row r="210" spans="2:4" x14ac:dyDescent="0.2">
      <c r="B210" s="162"/>
      <c r="D210" s="162"/>
    </row>
    <row r="211" spans="2:4" x14ac:dyDescent="0.2">
      <c r="B211" s="162"/>
      <c r="D211" s="162"/>
    </row>
    <row r="212" spans="2:4" x14ac:dyDescent="0.2">
      <c r="B212" s="162"/>
      <c r="D212" s="162"/>
    </row>
    <row r="213" spans="2:4" x14ac:dyDescent="0.2">
      <c r="B213" s="162"/>
      <c r="D213" s="162"/>
    </row>
    <row r="214" spans="2:4" x14ac:dyDescent="0.2">
      <c r="B214" s="162"/>
      <c r="D214" s="162"/>
    </row>
    <row r="215" spans="2:4" x14ac:dyDescent="0.2">
      <c r="B215" s="162"/>
      <c r="D215" s="162"/>
    </row>
    <row r="216" spans="2:4" x14ac:dyDescent="0.2">
      <c r="B216" s="162"/>
      <c r="D216" s="162"/>
    </row>
    <row r="217" spans="2:4" x14ac:dyDescent="0.2">
      <c r="B217" s="162"/>
      <c r="D217" s="162"/>
    </row>
    <row r="218" spans="2:4" x14ac:dyDescent="0.2">
      <c r="B218" s="162"/>
      <c r="D218" s="162"/>
    </row>
    <row r="219" spans="2:4" x14ac:dyDescent="0.2">
      <c r="B219" s="162"/>
      <c r="D219" s="162"/>
    </row>
    <row r="220" spans="2:4" x14ac:dyDescent="0.2">
      <c r="B220" s="162"/>
      <c r="D220" s="162"/>
    </row>
    <row r="221" spans="2:4" x14ac:dyDescent="0.2">
      <c r="B221" s="162"/>
      <c r="D221" s="162"/>
    </row>
    <row r="222" spans="2:4" x14ac:dyDescent="0.2">
      <c r="B222" s="162"/>
      <c r="D222" s="162"/>
    </row>
    <row r="223" spans="2:4" x14ac:dyDescent="0.2">
      <c r="B223" s="162"/>
      <c r="D223" s="162"/>
    </row>
    <row r="224" spans="2:4" x14ac:dyDescent="0.2">
      <c r="B224" s="162"/>
      <c r="D224" s="162"/>
    </row>
    <row r="225" spans="2:4" x14ac:dyDescent="0.2">
      <c r="B225" s="162"/>
      <c r="D225" s="162"/>
    </row>
    <row r="226" spans="2:4" x14ac:dyDescent="0.2">
      <c r="B226" s="162"/>
      <c r="D226" s="162"/>
    </row>
    <row r="227" spans="2:4" x14ac:dyDescent="0.2">
      <c r="B227" s="162"/>
      <c r="D227" s="162"/>
    </row>
    <row r="228" spans="2:4" x14ac:dyDescent="0.2">
      <c r="B228" s="162"/>
      <c r="D228" s="162"/>
    </row>
    <row r="229" spans="2:4" x14ac:dyDescent="0.2">
      <c r="B229" s="162"/>
      <c r="D229" s="162"/>
    </row>
    <row r="230" spans="2:4" x14ac:dyDescent="0.2">
      <c r="B230" s="162"/>
      <c r="D230" s="162"/>
    </row>
    <row r="231" spans="2:4" x14ac:dyDescent="0.2">
      <c r="B231" s="162"/>
      <c r="D231" s="162"/>
    </row>
    <row r="232" spans="2:4" x14ac:dyDescent="0.2">
      <c r="B232" s="162"/>
      <c r="D232" s="162"/>
    </row>
    <row r="233" spans="2:4" x14ac:dyDescent="0.2">
      <c r="B233" s="162"/>
      <c r="D233" s="162"/>
    </row>
    <row r="234" spans="2:4" x14ac:dyDescent="0.2">
      <c r="B234" s="162"/>
      <c r="D234" s="162"/>
    </row>
    <row r="235" spans="2:4" x14ac:dyDescent="0.2">
      <c r="B235" s="162"/>
      <c r="D235" s="162"/>
    </row>
    <row r="236" spans="2:4" x14ac:dyDescent="0.2">
      <c r="B236" s="162"/>
      <c r="D236" s="162"/>
    </row>
    <row r="237" spans="2:4" x14ac:dyDescent="0.2">
      <c r="B237" s="162"/>
      <c r="D237" s="162"/>
    </row>
    <row r="238" spans="2:4" x14ac:dyDescent="0.2">
      <c r="B238" s="162"/>
      <c r="D238" s="162"/>
    </row>
    <row r="239" spans="2:4" x14ac:dyDescent="0.2">
      <c r="B239" s="162"/>
      <c r="D239" s="162"/>
    </row>
    <row r="240" spans="2:4" x14ac:dyDescent="0.2">
      <c r="B240" s="162"/>
      <c r="D240" s="162"/>
    </row>
    <row r="241" spans="2:4" x14ac:dyDescent="0.2">
      <c r="B241" s="162"/>
      <c r="D241" s="162"/>
    </row>
    <row r="242" spans="2:4" x14ac:dyDescent="0.2">
      <c r="B242" s="162"/>
      <c r="D242" s="162"/>
    </row>
    <row r="243" spans="2:4" x14ac:dyDescent="0.2">
      <c r="B243" s="162"/>
      <c r="D243" s="162"/>
    </row>
    <row r="244" spans="2:4" x14ac:dyDescent="0.2">
      <c r="B244" s="162"/>
      <c r="D244" s="162"/>
    </row>
    <row r="245" spans="2:4" x14ac:dyDescent="0.2">
      <c r="B245" s="162"/>
      <c r="D245" s="162"/>
    </row>
    <row r="246" spans="2:4" x14ac:dyDescent="0.2">
      <c r="B246" s="162"/>
      <c r="D246" s="162"/>
    </row>
    <row r="247" spans="2:4" x14ac:dyDescent="0.2">
      <c r="B247" s="162"/>
      <c r="D247" s="162"/>
    </row>
    <row r="248" spans="2:4" x14ac:dyDescent="0.2">
      <c r="B248" s="162"/>
      <c r="D248" s="162"/>
    </row>
    <row r="249" spans="2:4" x14ac:dyDescent="0.2">
      <c r="B249" s="162"/>
      <c r="D249" s="162"/>
    </row>
    <row r="250" spans="2:4" x14ac:dyDescent="0.2">
      <c r="B250" s="162"/>
      <c r="D250" s="162"/>
    </row>
    <row r="251" spans="2:4" x14ac:dyDescent="0.2">
      <c r="B251" s="162"/>
      <c r="D251" s="162"/>
    </row>
    <row r="252" spans="2:4" x14ac:dyDescent="0.2">
      <c r="B252" s="162"/>
      <c r="D252" s="162"/>
    </row>
    <row r="253" spans="2:4" x14ac:dyDescent="0.2">
      <c r="B253" s="162"/>
      <c r="D253" s="162"/>
    </row>
    <row r="254" spans="2:4" x14ac:dyDescent="0.2">
      <c r="B254" s="162"/>
      <c r="D254" s="162"/>
    </row>
    <row r="255" spans="2:4" x14ac:dyDescent="0.2">
      <c r="B255" s="162"/>
      <c r="D255" s="162"/>
    </row>
    <row r="256" spans="2:4" x14ac:dyDescent="0.2">
      <c r="B256" s="162"/>
      <c r="D256" s="162"/>
    </row>
    <row r="257" spans="2:4" x14ac:dyDescent="0.2">
      <c r="B257" s="162"/>
      <c r="D257" s="162"/>
    </row>
    <row r="258" spans="2:4" x14ac:dyDescent="0.2">
      <c r="B258" s="162"/>
      <c r="D258" s="162"/>
    </row>
    <row r="259" spans="2:4" x14ac:dyDescent="0.2">
      <c r="B259" s="162"/>
      <c r="D259" s="162"/>
    </row>
    <row r="260" spans="2:4" x14ac:dyDescent="0.2">
      <c r="B260" s="162"/>
      <c r="D260" s="162"/>
    </row>
    <row r="261" spans="2:4" x14ac:dyDescent="0.2">
      <c r="B261" s="162"/>
      <c r="D261" s="162"/>
    </row>
    <row r="262" spans="2:4" x14ac:dyDescent="0.2">
      <c r="B262" s="162"/>
      <c r="D262" s="162"/>
    </row>
    <row r="263" spans="2:4" x14ac:dyDescent="0.2">
      <c r="B263" s="162"/>
      <c r="D263" s="162"/>
    </row>
    <row r="264" spans="2:4" x14ac:dyDescent="0.2">
      <c r="B264" s="162"/>
    </row>
  </sheetData>
  <sheetProtection password="CEB5" sheet="1" objects="1" scenarios="1" formatCells="0" formatColumns="0" formatRows="0" insertColumns="0" insertRows="0" insertHyperlinks="0" deleteColumns="0" deleteRows="0"/>
  <mergeCells count="17">
    <mergeCell ref="C12:F12"/>
    <mergeCell ref="A2:F2"/>
    <mergeCell ref="A3:D3"/>
    <mergeCell ref="E3:F3"/>
    <mergeCell ref="A4:F4"/>
    <mergeCell ref="C5:F5"/>
    <mergeCell ref="C6:F6"/>
    <mergeCell ref="C7:F7"/>
    <mergeCell ref="C8:F8"/>
    <mergeCell ref="C9:F9"/>
    <mergeCell ref="C10:F10"/>
    <mergeCell ref="C11:F11"/>
    <mergeCell ref="C13:F13"/>
    <mergeCell ref="C14:F14"/>
    <mergeCell ref="C15:F15"/>
    <mergeCell ref="C16:F16"/>
    <mergeCell ref="C17:F17"/>
  </mergeCells>
  <printOptions horizontalCentered="1"/>
  <pageMargins left="0.7" right="0.7" top="0.75" bottom="0.75" header="0.3" footer="0.3"/>
  <pageSetup scale="84" fitToHeight="0" orientation="landscape" r:id="rId1"/>
  <headerFooter>
    <oddFooter>&amp;L&amp;"Arial,Regular"Los Angeles Unified School District
Barton Hill Elementary School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12" zoomScaleNormal="100" zoomScaleSheetLayoutView="50" workbookViewId="0">
      <selection activeCell="B13" sqref="B13"/>
    </sheetView>
  </sheetViews>
  <sheetFormatPr defaultColWidth="9" defaultRowHeight="15" x14ac:dyDescent="0.2"/>
  <cols>
    <col min="1" max="1" width="28.5703125" style="163" customWidth="1"/>
    <col min="2" max="2" width="56.5703125" style="164" customWidth="1"/>
    <col min="3" max="3" width="16.7109375" style="163" customWidth="1"/>
    <col min="4" max="4" width="22.42578125" style="163" customWidth="1"/>
    <col min="5" max="5" width="36" style="163" customWidth="1"/>
    <col min="6" max="16384" width="9" style="163"/>
  </cols>
  <sheetData>
    <row r="1" spans="1:12" ht="16.899999999999999" customHeight="1" thickBot="1" x14ac:dyDescent="0.25"/>
    <row r="2" spans="1:12" ht="16.5" thickBot="1" x14ac:dyDescent="0.25">
      <c r="A2" s="313" t="s">
        <v>74</v>
      </c>
      <c r="B2" s="314"/>
      <c r="C2" s="314"/>
      <c r="D2" s="314"/>
      <c r="E2" s="315"/>
    </row>
    <row r="3" spans="1:12" s="154" customFormat="1" ht="24.75" customHeight="1" x14ac:dyDescent="0.2">
      <c r="A3" s="316" t="s">
        <v>54</v>
      </c>
      <c r="B3" s="317"/>
      <c r="C3" s="318" t="s">
        <v>149</v>
      </c>
      <c r="D3" s="319"/>
      <c r="E3" s="320"/>
    </row>
    <row r="4" spans="1:12" ht="24.75" customHeight="1" thickBot="1" x14ac:dyDescent="0.25">
      <c r="A4" s="321" t="s">
        <v>55</v>
      </c>
      <c r="B4" s="322"/>
      <c r="C4" s="322"/>
      <c r="D4" s="322"/>
      <c r="E4" s="323"/>
    </row>
    <row r="5" spans="1:12" ht="13.15" customHeight="1" x14ac:dyDescent="0.2">
      <c r="A5" s="324" t="s">
        <v>75</v>
      </c>
      <c r="B5" s="326" t="s">
        <v>76</v>
      </c>
      <c r="C5" s="328" t="s">
        <v>77</v>
      </c>
      <c r="D5" s="330" t="s">
        <v>78</v>
      </c>
      <c r="E5" s="332" t="s">
        <v>79</v>
      </c>
    </row>
    <row r="6" spans="1:12" ht="35.25" customHeight="1" thickBot="1" x14ac:dyDescent="0.25">
      <c r="A6" s="325"/>
      <c r="B6" s="327"/>
      <c r="C6" s="329"/>
      <c r="D6" s="331"/>
      <c r="E6" s="333"/>
    </row>
    <row r="7" spans="1:12" ht="31.5" customHeight="1" x14ac:dyDescent="0.2">
      <c r="A7" s="334" t="s">
        <v>80</v>
      </c>
      <c r="B7" s="335"/>
      <c r="C7" s="335"/>
      <c r="D7" s="335"/>
      <c r="E7" s="336"/>
    </row>
    <row r="8" spans="1:12" ht="24" customHeight="1" thickBot="1" x14ac:dyDescent="0.25">
      <c r="A8" s="165" t="s">
        <v>81</v>
      </c>
      <c r="B8" s="166" t="s">
        <v>81</v>
      </c>
      <c r="C8" s="167" t="s">
        <v>81</v>
      </c>
      <c r="D8" s="160" t="s">
        <v>81</v>
      </c>
      <c r="E8" s="9" t="s">
        <v>81</v>
      </c>
    </row>
    <row r="9" spans="1:12" ht="6.75" customHeight="1" thickBot="1" x14ac:dyDescent="0.25">
      <c r="A9" s="305"/>
      <c r="B9" s="306"/>
      <c r="C9" s="306"/>
      <c r="D9" s="306"/>
      <c r="E9" s="307"/>
    </row>
    <row r="10" spans="1:12" ht="29.25" customHeight="1" x14ac:dyDescent="0.2">
      <c r="A10" s="302" t="s">
        <v>82</v>
      </c>
      <c r="B10" s="303"/>
      <c r="C10" s="303"/>
      <c r="D10" s="303"/>
      <c r="E10" s="337"/>
    </row>
    <row r="11" spans="1:12" ht="372.75" customHeight="1" thickBot="1" x14ac:dyDescent="0.25">
      <c r="A11" s="152"/>
      <c r="B11" s="168" t="s">
        <v>83</v>
      </c>
      <c r="C11" s="160" t="s">
        <v>84</v>
      </c>
      <c r="D11" s="160" t="s">
        <v>85</v>
      </c>
      <c r="E11" s="9" t="s">
        <v>86</v>
      </c>
    </row>
    <row r="12" spans="1:12" ht="258.75" customHeight="1" x14ac:dyDescent="0.2">
      <c r="A12" s="169"/>
      <c r="B12" s="170" t="s">
        <v>87</v>
      </c>
      <c r="C12" s="171"/>
      <c r="D12" s="171"/>
      <c r="E12" s="10"/>
    </row>
    <row r="13" spans="1:12" ht="276" customHeight="1" thickBot="1" x14ac:dyDescent="0.25">
      <c r="A13" s="172"/>
      <c r="B13" s="173" t="s">
        <v>165</v>
      </c>
      <c r="C13" s="248"/>
      <c r="D13" s="248"/>
      <c r="E13" s="11"/>
    </row>
    <row r="14" spans="1:12" ht="6.75" customHeight="1" thickBot="1" x14ac:dyDescent="0.25">
      <c r="A14" s="305"/>
      <c r="B14" s="306"/>
      <c r="C14" s="306"/>
      <c r="D14" s="306"/>
      <c r="E14" s="307"/>
    </row>
    <row r="15" spans="1:12" ht="36" customHeight="1" x14ac:dyDescent="0.2">
      <c r="A15" s="302" t="s">
        <v>88</v>
      </c>
      <c r="B15" s="303"/>
      <c r="C15" s="303"/>
      <c r="D15" s="303"/>
      <c r="E15" s="337"/>
    </row>
    <row r="16" spans="1:12" ht="189.75" customHeight="1" x14ac:dyDescent="0.2">
      <c r="A16" s="174"/>
      <c r="B16" s="175" t="s">
        <v>166</v>
      </c>
      <c r="C16" s="150" t="s">
        <v>84</v>
      </c>
      <c r="D16" s="150" t="s">
        <v>89</v>
      </c>
      <c r="E16" s="176" t="s">
        <v>90</v>
      </c>
      <c r="L16" s="163" t="s">
        <v>91</v>
      </c>
    </row>
    <row r="17" spans="1:5" ht="6.75" customHeight="1" thickBot="1" x14ac:dyDescent="0.25">
      <c r="A17" s="310"/>
      <c r="B17" s="311"/>
      <c r="C17" s="311"/>
      <c r="D17" s="311"/>
      <c r="E17" s="312"/>
    </row>
    <row r="18" spans="1:5" ht="15.75" x14ac:dyDescent="0.2">
      <c r="A18" s="302" t="s">
        <v>92</v>
      </c>
      <c r="B18" s="303"/>
      <c r="C18" s="303"/>
      <c r="D18" s="303"/>
      <c r="E18" s="304"/>
    </row>
    <row r="19" spans="1:5" s="164" customFormat="1" ht="201.75" customHeight="1" thickBot="1" x14ac:dyDescent="0.25">
      <c r="A19" s="177"/>
      <c r="B19" s="178" t="s">
        <v>167</v>
      </c>
      <c r="C19" s="160" t="s">
        <v>84</v>
      </c>
      <c r="D19" s="160" t="s">
        <v>93</v>
      </c>
      <c r="E19" s="9" t="s">
        <v>94</v>
      </c>
    </row>
    <row r="20" spans="1:5" ht="8.25" customHeight="1" thickBot="1" x14ac:dyDescent="0.25">
      <c r="A20" s="305"/>
      <c r="B20" s="306"/>
      <c r="C20" s="306"/>
      <c r="D20" s="306"/>
      <c r="E20" s="307"/>
    </row>
    <row r="21" spans="1:5" ht="25.5" customHeight="1" x14ac:dyDescent="0.2">
      <c r="A21" s="302" t="s">
        <v>95</v>
      </c>
      <c r="B21" s="303"/>
      <c r="C21" s="303"/>
      <c r="D21" s="303"/>
      <c r="E21" s="304"/>
    </row>
    <row r="22" spans="1:5" ht="54.75" customHeight="1" x14ac:dyDescent="0.2">
      <c r="A22" s="299" t="s">
        <v>96</v>
      </c>
      <c r="B22" s="300"/>
      <c r="C22" s="300"/>
      <c r="D22" s="300"/>
      <c r="E22" s="301"/>
    </row>
    <row r="23" spans="1:5" ht="205.5" customHeight="1" thickBot="1" x14ac:dyDescent="0.25">
      <c r="A23" s="179"/>
      <c r="B23" s="168" t="s">
        <v>97</v>
      </c>
      <c r="C23" s="160" t="s">
        <v>84</v>
      </c>
      <c r="D23" s="160" t="s">
        <v>98</v>
      </c>
      <c r="E23" s="180" t="s">
        <v>150</v>
      </c>
    </row>
    <row r="24" spans="1:5" ht="270" customHeight="1" x14ac:dyDescent="0.2">
      <c r="A24" s="181"/>
      <c r="B24" s="170" t="s">
        <v>218</v>
      </c>
      <c r="C24" s="209"/>
      <c r="D24" s="209"/>
      <c r="E24" s="308" t="s">
        <v>99</v>
      </c>
    </row>
    <row r="25" spans="1:5" ht="144.75" customHeight="1" thickBot="1" x14ac:dyDescent="0.25">
      <c r="A25" s="182"/>
      <c r="B25" s="173" t="s">
        <v>100</v>
      </c>
      <c r="C25" s="248"/>
      <c r="D25" s="248"/>
      <c r="E25" s="309"/>
    </row>
    <row r="26" spans="1:5" ht="308.25" customHeight="1" x14ac:dyDescent="0.2">
      <c r="A26" s="181"/>
      <c r="B26" s="170" t="s">
        <v>151</v>
      </c>
      <c r="C26" s="171"/>
      <c r="D26" s="171"/>
      <c r="E26" s="183"/>
    </row>
    <row r="27" spans="1:5" ht="84" customHeight="1" thickBot="1" x14ac:dyDescent="0.25">
      <c r="A27" s="184"/>
      <c r="B27" s="185" t="s">
        <v>101</v>
      </c>
      <c r="C27" s="248"/>
      <c r="D27" s="248"/>
      <c r="E27" s="186"/>
    </row>
    <row r="28" spans="1:5" ht="36" customHeight="1" x14ac:dyDescent="0.2">
      <c r="A28" s="285" t="s">
        <v>102</v>
      </c>
      <c r="B28" s="286"/>
      <c r="C28" s="286"/>
      <c r="D28" s="286"/>
      <c r="E28" s="287"/>
    </row>
    <row r="29" spans="1:5" s="189" customFormat="1" ht="180.75" customHeight="1" x14ac:dyDescent="0.2">
      <c r="A29" s="288"/>
      <c r="B29" s="187" t="s">
        <v>219</v>
      </c>
      <c r="C29" s="246" t="s">
        <v>103</v>
      </c>
      <c r="D29" s="246" t="s">
        <v>104</v>
      </c>
      <c r="E29" s="188" t="s">
        <v>105</v>
      </c>
    </row>
    <row r="30" spans="1:5" s="189" customFormat="1" ht="153.75" customHeight="1" thickBot="1" x14ac:dyDescent="0.25">
      <c r="A30" s="289"/>
      <c r="B30" s="190" t="s">
        <v>152</v>
      </c>
      <c r="C30" s="191"/>
      <c r="D30" s="191"/>
      <c r="E30" s="192"/>
    </row>
    <row r="31" spans="1:5" s="189" customFormat="1" ht="213.4" customHeight="1" thickBot="1" x14ac:dyDescent="0.25">
      <c r="A31" s="193"/>
      <c r="B31" s="194" t="s">
        <v>220</v>
      </c>
      <c r="C31" s="195"/>
      <c r="D31" s="195"/>
      <c r="E31" s="196"/>
    </row>
    <row r="32" spans="1:5" s="189" customFormat="1" ht="409.5" customHeight="1" x14ac:dyDescent="0.2">
      <c r="A32" s="210"/>
      <c r="B32" s="170" t="s">
        <v>221</v>
      </c>
      <c r="C32" s="209" t="s">
        <v>153</v>
      </c>
      <c r="D32" s="209" t="s">
        <v>154</v>
      </c>
      <c r="E32" s="208" t="s">
        <v>106</v>
      </c>
    </row>
    <row r="33" spans="1:5" s="189" customFormat="1" ht="170.25" customHeight="1" x14ac:dyDescent="0.2">
      <c r="A33" s="235"/>
      <c r="B33" s="199" t="s">
        <v>222</v>
      </c>
      <c r="C33" s="247"/>
      <c r="D33" s="247"/>
      <c r="E33" s="236"/>
    </row>
    <row r="34" spans="1:5" s="189" customFormat="1" ht="304.5" customHeight="1" thickBot="1" x14ac:dyDescent="0.25">
      <c r="A34" s="211"/>
      <c r="B34" s="173" t="s">
        <v>224</v>
      </c>
      <c r="C34" s="191"/>
      <c r="D34" s="191"/>
      <c r="E34" s="192"/>
    </row>
    <row r="35" spans="1:5" s="189" customFormat="1" ht="25.5" customHeight="1" x14ac:dyDescent="0.2">
      <c r="A35" s="285" t="s">
        <v>107</v>
      </c>
      <c r="B35" s="286"/>
      <c r="C35" s="286"/>
      <c r="D35" s="286"/>
      <c r="E35" s="287"/>
    </row>
    <row r="36" spans="1:5" ht="147.75" customHeight="1" x14ac:dyDescent="0.2">
      <c r="A36" s="197"/>
      <c r="B36" s="187" t="s">
        <v>108</v>
      </c>
      <c r="C36" s="293" t="s">
        <v>155</v>
      </c>
      <c r="D36" s="293" t="s">
        <v>156</v>
      </c>
      <c r="E36" s="296" t="s">
        <v>157</v>
      </c>
    </row>
    <row r="37" spans="1:5" ht="147.75" customHeight="1" x14ac:dyDescent="0.2">
      <c r="A37" s="198"/>
      <c r="B37" s="199" t="s">
        <v>109</v>
      </c>
      <c r="C37" s="294"/>
      <c r="D37" s="294"/>
      <c r="E37" s="297"/>
    </row>
    <row r="38" spans="1:5" ht="176.25" customHeight="1" thickBot="1" x14ac:dyDescent="0.25">
      <c r="A38" s="200"/>
      <c r="B38" s="173" t="s">
        <v>110</v>
      </c>
      <c r="C38" s="295"/>
      <c r="D38" s="295"/>
      <c r="E38" s="298"/>
    </row>
    <row r="39" spans="1:5" ht="212.25" customHeight="1" x14ac:dyDescent="0.2">
      <c r="A39" s="201"/>
      <c r="B39" s="170" t="s">
        <v>223</v>
      </c>
      <c r="C39" s="171"/>
      <c r="D39" s="171"/>
      <c r="E39" s="10"/>
    </row>
    <row r="40" spans="1:5" ht="337.5" customHeight="1" thickBot="1" x14ac:dyDescent="0.25">
      <c r="A40" s="200"/>
      <c r="B40" s="173" t="s">
        <v>158</v>
      </c>
      <c r="C40" s="191"/>
      <c r="D40" s="191"/>
      <c r="E40" s="192"/>
    </row>
    <row r="41" spans="1:5" ht="25.5" customHeight="1" x14ac:dyDescent="0.2">
      <c r="A41" s="285" t="s">
        <v>111</v>
      </c>
      <c r="B41" s="286"/>
      <c r="C41" s="286"/>
      <c r="D41" s="286"/>
      <c r="E41" s="287"/>
    </row>
    <row r="42" spans="1:5" ht="186.75" customHeight="1" x14ac:dyDescent="0.2">
      <c r="A42" s="174"/>
      <c r="B42" s="202" t="s">
        <v>139</v>
      </c>
      <c r="C42" s="150" t="s">
        <v>84</v>
      </c>
      <c r="D42" s="150" t="s">
        <v>112</v>
      </c>
      <c r="E42" s="203" t="s">
        <v>113</v>
      </c>
    </row>
    <row r="43" spans="1:5" ht="38.25" customHeight="1" x14ac:dyDescent="0.2">
      <c r="A43" s="299" t="s">
        <v>114</v>
      </c>
      <c r="B43" s="300"/>
      <c r="C43" s="300"/>
      <c r="D43" s="300"/>
      <c r="E43" s="301"/>
    </row>
    <row r="44" spans="1:5" ht="186" customHeight="1" thickBot="1" x14ac:dyDescent="0.25">
      <c r="A44" s="152"/>
      <c r="B44" s="168" t="s">
        <v>159</v>
      </c>
      <c r="C44" s="160" t="s">
        <v>84</v>
      </c>
      <c r="D44" s="160" t="s">
        <v>115</v>
      </c>
      <c r="E44" s="9" t="s">
        <v>116</v>
      </c>
    </row>
    <row r="45" spans="1:5" s="189" customFormat="1" ht="285.75" customHeight="1" thickBot="1" x14ac:dyDescent="0.25">
      <c r="A45" s="204"/>
      <c r="B45" s="205" t="s">
        <v>117</v>
      </c>
      <c r="C45" s="195" t="s">
        <v>84</v>
      </c>
      <c r="D45" s="195" t="s">
        <v>160</v>
      </c>
      <c r="E45" s="196" t="s">
        <v>118</v>
      </c>
    </row>
    <row r="46" spans="1:5" ht="58.5" customHeight="1" x14ac:dyDescent="0.2">
      <c r="A46" s="290" t="s">
        <v>119</v>
      </c>
      <c r="B46" s="291"/>
      <c r="C46" s="291"/>
      <c r="D46" s="291"/>
      <c r="E46" s="292"/>
    </row>
    <row r="47" spans="1:5" ht="213" customHeight="1" thickBot="1" x14ac:dyDescent="0.25">
      <c r="A47" s="206"/>
      <c r="B47" s="12" t="s">
        <v>120</v>
      </c>
      <c r="C47" s="207" t="s">
        <v>84</v>
      </c>
      <c r="D47" s="13" t="s">
        <v>121</v>
      </c>
      <c r="E47" s="14" t="s">
        <v>122</v>
      </c>
    </row>
  </sheetData>
  <sheetProtection password="CEB5" sheet="1" objects="1" scenarios="1" formatCells="0" formatColumns="0" formatRows="0" insertColumns="0" insertRows="0" insertHyperlinks="0" deleteColumns="0" deleteRows="0"/>
  <mergeCells count="29">
    <mergeCell ref="A17:E17"/>
    <mergeCell ref="A2:E2"/>
    <mergeCell ref="A3:B3"/>
    <mergeCell ref="C3:E3"/>
    <mergeCell ref="A4:E4"/>
    <mergeCell ref="A5:A6"/>
    <mergeCell ref="B5:B6"/>
    <mergeCell ref="C5:C6"/>
    <mergeCell ref="D5:D6"/>
    <mergeCell ref="E5:E6"/>
    <mergeCell ref="A7:E7"/>
    <mergeCell ref="A9:E9"/>
    <mergeCell ref="A10:E10"/>
    <mergeCell ref="A14:E14"/>
    <mergeCell ref="A15:E15"/>
    <mergeCell ref="A18:E18"/>
    <mergeCell ref="A20:E20"/>
    <mergeCell ref="A21:E21"/>
    <mergeCell ref="A22:E22"/>
    <mergeCell ref="E24:E25"/>
    <mergeCell ref="A28:E28"/>
    <mergeCell ref="A29:A30"/>
    <mergeCell ref="A46:E46"/>
    <mergeCell ref="A35:E35"/>
    <mergeCell ref="C36:C38"/>
    <mergeCell ref="D36:D38"/>
    <mergeCell ref="E36:E38"/>
    <mergeCell ref="A41:E41"/>
    <mergeCell ref="A43:E43"/>
  </mergeCells>
  <printOptions horizontalCentered="1"/>
  <pageMargins left="0.7" right="0.7" top="0.75" bottom="0.75" header="0.3" footer="0.3"/>
  <pageSetup scale="77" orientation="landscape" r:id="rId1"/>
  <headerFooter>
    <oddFooter xml:space="preserve">&amp;L&amp;"Arial,Regular"Los Angeles Unified School District
Barton Hill Elementary School
Rev. 04.06.18&amp;R
</oddFooter>
  </headerFooter>
  <rowBreaks count="5" manualBreakCount="5">
    <brk id="20" max="4" man="1"/>
    <brk id="27" max="4" man="1"/>
    <brk id="34" max="4" man="1"/>
    <brk id="40" max="4" man="1"/>
    <brk id="4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C329"/>
  <sheetViews>
    <sheetView tabSelected="1" topLeftCell="A15" zoomScale="90" zoomScaleNormal="90" zoomScaleSheetLayoutView="75" zoomScalePageLayoutView="95" workbookViewId="0">
      <selection activeCell="C8" sqref="C8"/>
    </sheetView>
  </sheetViews>
  <sheetFormatPr defaultColWidth="7.7109375" defaultRowHeight="15.75" x14ac:dyDescent="0.25"/>
  <cols>
    <col min="1" max="1" width="14.7109375" style="94" customWidth="1"/>
    <col min="2" max="2" width="55.28515625" style="95" customWidth="1"/>
    <col min="3" max="3" width="13" style="102" customWidth="1"/>
    <col min="4" max="4" width="19.28515625" style="94" hidden="1" customWidth="1"/>
    <col min="5" max="5" width="21.7109375" style="94" hidden="1" customWidth="1"/>
    <col min="6" max="7" width="19.7109375" style="94" hidden="1" customWidth="1"/>
    <col min="8" max="8" width="3" style="103" hidden="1" customWidth="1"/>
    <col min="9" max="9" width="24.5703125" style="94" hidden="1" customWidth="1"/>
    <col min="10" max="14" width="23.7109375" style="94" hidden="1" customWidth="1"/>
    <col min="15" max="15" width="2.7109375" style="98" hidden="1" customWidth="1"/>
    <col min="16" max="16" width="25" style="94" hidden="1" customWidth="1"/>
    <col min="17" max="18" width="24.5703125" style="94" hidden="1" customWidth="1"/>
    <col min="19" max="20" width="24.5703125" style="94" customWidth="1"/>
    <col min="21" max="21" width="2.7109375" style="98" customWidth="1"/>
    <col min="22" max="22" width="23.85546875" style="94" hidden="1" customWidth="1"/>
    <col min="23" max="23" width="23.42578125" style="94" hidden="1" customWidth="1"/>
    <col min="24" max="25" width="23.42578125" style="94" customWidth="1"/>
    <col min="26" max="26" width="2.7109375" style="98" customWidth="1"/>
    <col min="27" max="27" width="23.42578125" style="94" hidden="1" customWidth="1"/>
    <col min="28" max="29" width="23.42578125" style="94" customWidth="1"/>
    <col min="30" max="16384" width="7.7109375" style="21"/>
  </cols>
  <sheetData>
    <row r="1" spans="1:29" ht="16.5" thickBot="1" x14ac:dyDescent="0.3">
      <c r="A1" s="15"/>
      <c r="B1" s="16" t="s">
        <v>0</v>
      </c>
      <c r="C1" s="17"/>
      <c r="D1" s="18"/>
      <c r="E1" s="18"/>
      <c r="F1" s="18"/>
      <c r="G1" s="18"/>
      <c r="H1" s="19"/>
      <c r="I1" s="18"/>
      <c r="J1" s="18"/>
      <c r="K1" s="18"/>
      <c r="L1" s="18"/>
      <c r="M1" s="18"/>
      <c r="N1" s="18"/>
      <c r="O1" s="19"/>
      <c r="P1" s="18"/>
      <c r="Q1" s="18"/>
      <c r="R1" s="18"/>
      <c r="S1" s="18"/>
      <c r="T1" s="18"/>
      <c r="U1" s="19"/>
      <c r="V1" s="18"/>
      <c r="W1" s="18"/>
      <c r="X1" s="18"/>
      <c r="Y1" s="18"/>
      <c r="Z1" s="19"/>
      <c r="AA1" s="18"/>
      <c r="AB1" s="18"/>
      <c r="AC1" s="20"/>
    </row>
    <row r="2" spans="1:29" ht="30.75" x14ac:dyDescent="0.2">
      <c r="A2" s="22"/>
      <c r="B2" s="23" t="s">
        <v>125</v>
      </c>
      <c r="C2" s="24"/>
      <c r="D2" s="354" t="s">
        <v>1</v>
      </c>
      <c r="E2" s="354"/>
      <c r="F2" s="354"/>
      <c r="G2" s="354"/>
      <c r="H2" s="354"/>
      <c r="I2" s="354"/>
      <c r="J2" s="354"/>
      <c r="K2" s="354"/>
      <c r="L2" s="354"/>
      <c r="M2" s="354"/>
      <c r="N2" s="354"/>
      <c r="O2" s="354"/>
      <c r="P2" s="354"/>
      <c r="Q2" s="354"/>
      <c r="R2" s="354"/>
      <c r="S2" s="354"/>
      <c r="T2" s="354"/>
      <c r="U2" s="354"/>
      <c r="V2" s="354"/>
      <c r="W2" s="354"/>
      <c r="X2" s="354"/>
      <c r="Y2" s="354"/>
      <c r="Z2" s="354"/>
      <c r="AA2" s="354"/>
      <c r="AB2" s="222"/>
      <c r="AC2" s="117"/>
    </row>
    <row r="3" spans="1:29" ht="35.25" customHeight="1" x14ac:dyDescent="0.2">
      <c r="A3" s="22"/>
      <c r="B3" s="25" t="s">
        <v>49</v>
      </c>
      <c r="C3" s="26"/>
      <c r="D3" s="26"/>
      <c r="E3" s="26"/>
      <c r="F3" s="26"/>
      <c r="G3" s="26"/>
      <c r="H3" s="26"/>
      <c r="I3" s="26"/>
      <c r="J3" s="26"/>
      <c r="K3" s="26"/>
      <c r="L3" s="26"/>
      <c r="M3" s="26"/>
      <c r="N3" s="26"/>
      <c r="O3" s="26"/>
      <c r="P3" s="26"/>
      <c r="Q3" s="26"/>
      <c r="R3" s="26"/>
      <c r="S3" s="26"/>
      <c r="T3" s="26"/>
      <c r="U3" s="26"/>
      <c r="V3" s="26"/>
      <c r="W3" s="26"/>
      <c r="X3" s="26"/>
      <c r="Y3" s="26"/>
      <c r="Z3" s="26"/>
      <c r="AA3" s="26"/>
      <c r="AB3" s="26"/>
      <c r="AC3" s="27"/>
    </row>
    <row r="4" spans="1:29" ht="11.25" customHeight="1" x14ac:dyDescent="0.2">
      <c r="A4" s="22"/>
      <c r="B4" s="355"/>
      <c r="C4" s="26"/>
      <c r="D4" s="26"/>
      <c r="E4" s="26"/>
      <c r="F4" s="26"/>
      <c r="G4" s="26"/>
      <c r="H4" s="26"/>
      <c r="I4" s="26"/>
      <c r="J4" s="26"/>
      <c r="K4" s="26"/>
      <c r="L4" s="26"/>
      <c r="M4" s="26"/>
      <c r="N4" s="26"/>
      <c r="O4" s="26"/>
      <c r="P4" s="26"/>
      <c r="Q4" s="26"/>
      <c r="R4" s="26"/>
      <c r="S4" s="26"/>
      <c r="T4" s="26"/>
      <c r="U4" s="26"/>
      <c r="V4" s="26"/>
      <c r="W4" s="26"/>
      <c r="X4" s="26"/>
      <c r="Y4" s="26"/>
      <c r="Z4" s="26"/>
      <c r="AA4" s="26"/>
      <c r="AB4" s="26"/>
      <c r="AC4" s="27"/>
    </row>
    <row r="5" spans="1:29" ht="39.75" customHeight="1" thickBot="1" x14ac:dyDescent="0.3">
      <c r="A5" s="22"/>
      <c r="B5" s="356"/>
      <c r="C5" s="28"/>
      <c r="D5" s="29"/>
      <c r="E5" s="29"/>
      <c r="F5" s="29"/>
      <c r="G5" s="29"/>
      <c r="H5" s="29"/>
      <c r="I5" s="29"/>
      <c r="J5" s="29"/>
      <c r="K5" s="29"/>
      <c r="L5" s="29"/>
      <c r="M5" s="29"/>
      <c r="N5" s="29"/>
      <c r="O5" s="29"/>
      <c r="P5" s="29"/>
      <c r="Q5" s="29"/>
      <c r="R5" s="29"/>
      <c r="S5" s="29"/>
      <c r="T5" s="29"/>
      <c r="U5" s="29"/>
      <c r="V5" s="29"/>
      <c r="W5" s="29"/>
      <c r="X5" s="29"/>
      <c r="Y5" s="29"/>
      <c r="Z5" s="29"/>
      <c r="AA5" s="29"/>
      <c r="AB5" s="223"/>
      <c r="AC5" s="30"/>
    </row>
    <row r="6" spans="1:29" ht="30" customHeight="1" thickBot="1" x14ac:dyDescent="0.25">
      <c r="A6" s="22"/>
      <c r="B6" s="357" t="s">
        <v>2</v>
      </c>
      <c r="C6" s="358"/>
      <c r="D6" s="31">
        <f>D96</f>
        <v>177490</v>
      </c>
      <c r="E6" s="31">
        <f>E96</f>
        <v>177490</v>
      </c>
      <c r="F6" s="31">
        <f>F96</f>
        <v>150993</v>
      </c>
      <c r="G6" s="31">
        <f>G96</f>
        <v>113570.91999999998</v>
      </c>
      <c r="H6" s="32"/>
      <c r="I6" s="33">
        <f t="shared" ref="I6:N6" si="0">I96</f>
        <v>1782327</v>
      </c>
      <c r="J6" s="33">
        <f t="shared" si="0"/>
        <v>1808824</v>
      </c>
      <c r="K6" s="33">
        <f t="shared" si="0"/>
        <v>1846246.08</v>
      </c>
      <c r="L6" s="33">
        <f t="shared" si="0"/>
        <v>1846246.08</v>
      </c>
      <c r="M6" s="33">
        <f t="shared" si="0"/>
        <v>1846246.08</v>
      </c>
      <c r="N6" s="33">
        <f t="shared" si="0"/>
        <v>1846246.08</v>
      </c>
      <c r="O6" s="32"/>
      <c r="P6" s="33">
        <f>P96</f>
        <v>1780728</v>
      </c>
      <c r="Q6" s="33">
        <f>Q96</f>
        <v>1780728</v>
      </c>
      <c r="R6" s="33">
        <f>R96</f>
        <v>1780728</v>
      </c>
      <c r="S6" s="33">
        <f>S96</f>
        <v>1780728</v>
      </c>
      <c r="T6" s="33">
        <f>T96</f>
        <v>1953221.23</v>
      </c>
      <c r="U6" s="32"/>
      <c r="V6" s="33">
        <f>V96</f>
        <v>1778332</v>
      </c>
      <c r="W6" s="33">
        <f>W96</f>
        <v>1778332</v>
      </c>
      <c r="X6" s="33">
        <f>X96</f>
        <v>1778332</v>
      </c>
      <c r="Y6" s="33">
        <f>Y96</f>
        <v>1843438</v>
      </c>
      <c r="Z6" s="32"/>
      <c r="AA6" s="33">
        <f>AA96</f>
        <v>1120945</v>
      </c>
      <c r="AB6" s="33">
        <f>AB96</f>
        <v>1120945</v>
      </c>
      <c r="AC6" s="33">
        <f>AC96</f>
        <v>1204479</v>
      </c>
    </row>
    <row r="7" spans="1:29" ht="57" customHeight="1" thickBot="1" x14ac:dyDescent="0.25">
      <c r="A7" s="34" t="s">
        <v>3</v>
      </c>
      <c r="B7" s="35" t="s">
        <v>4</v>
      </c>
      <c r="C7" s="35" t="s">
        <v>5</v>
      </c>
      <c r="D7" s="36" t="s">
        <v>6</v>
      </c>
      <c r="E7" s="36" t="s">
        <v>123</v>
      </c>
      <c r="F7" s="36" t="s">
        <v>132</v>
      </c>
      <c r="G7" s="36" t="s">
        <v>142</v>
      </c>
      <c r="H7" s="37"/>
      <c r="I7" s="38" t="s">
        <v>7</v>
      </c>
      <c r="J7" s="38" t="s">
        <v>133</v>
      </c>
      <c r="K7" s="38" t="s">
        <v>164</v>
      </c>
      <c r="L7" s="38" t="s">
        <v>171</v>
      </c>
      <c r="M7" s="38" t="s">
        <v>185</v>
      </c>
      <c r="N7" s="38" t="s">
        <v>204</v>
      </c>
      <c r="O7" s="37"/>
      <c r="P7" s="38" t="s">
        <v>8</v>
      </c>
      <c r="Q7" s="38" t="s">
        <v>134</v>
      </c>
      <c r="R7" s="38" t="s">
        <v>172</v>
      </c>
      <c r="S7" s="38" t="s">
        <v>186</v>
      </c>
      <c r="T7" s="38" t="s">
        <v>205</v>
      </c>
      <c r="U7" s="37"/>
      <c r="V7" s="38" t="s">
        <v>9</v>
      </c>
      <c r="W7" s="38" t="s">
        <v>135</v>
      </c>
      <c r="X7" s="38" t="s">
        <v>173</v>
      </c>
      <c r="Y7" s="38" t="s">
        <v>208</v>
      </c>
      <c r="Z7" s="37"/>
      <c r="AA7" s="38" t="s">
        <v>10</v>
      </c>
      <c r="AB7" s="38" t="s">
        <v>136</v>
      </c>
      <c r="AC7" s="38" t="s">
        <v>209</v>
      </c>
    </row>
    <row r="8" spans="1:29" s="39" customFormat="1" ht="192" customHeight="1" x14ac:dyDescent="0.2">
      <c r="A8" s="359" t="s">
        <v>38</v>
      </c>
      <c r="B8" s="138" t="s">
        <v>225</v>
      </c>
      <c r="C8" s="131">
        <v>1100</v>
      </c>
      <c r="D8" s="139">
        <v>0</v>
      </c>
      <c r="E8" s="139">
        <v>0</v>
      </c>
      <c r="F8" s="139">
        <v>0</v>
      </c>
      <c r="G8" s="139">
        <v>0</v>
      </c>
      <c r="H8" s="132"/>
      <c r="I8" s="133">
        <v>46800</v>
      </c>
      <c r="J8" s="133">
        <v>70200</v>
      </c>
      <c r="K8" s="133">
        <f>60450+1950</f>
        <v>62400</v>
      </c>
      <c r="L8" s="133">
        <v>56275.85</v>
      </c>
      <c r="M8" s="133">
        <v>56275.85</v>
      </c>
      <c r="N8" s="133">
        <v>56275.85</v>
      </c>
      <c r="O8" s="132"/>
      <c r="P8" s="133">
        <v>46800</v>
      </c>
      <c r="Q8" s="133">
        <f>38610+1170</f>
        <v>39780</v>
      </c>
      <c r="R8" s="133">
        <f>38610+1170</f>
        <v>39780</v>
      </c>
      <c r="S8" s="133">
        <f>38610+1170</f>
        <v>39780</v>
      </c>
      <c r="T8" s="133">
        <f>68310+2070</f>
        <v>70380</v>
      </c>
      <c r="U8" s="132"/>
      <c r="V8" s="133">
        <v>46800</v>
      </c>
      <c r="W8" s="133">
        <v>39780</v>
      </c>
      <c r="X8" s="133">
        <v>39780</v>
      </c>
      <c r="Y8" s="133">
        <f>68310+2070</f>
        <v>70380</v>
      </c>
      <c r="Z8" s="132"/>
      <c r="AA8" s="133">
        <v>46800</v>
      </c>
      <c r="AB8" s="133">
        <v>39780</v>
      </c>
      <c r="AC8" s="255">
        <f>68310+2070</f>
        <v>70380</v>
      </c>
    </row>
    <row r="9" spans="1:29" s="39" customFormat="1" ht="172.5" customHeight="1" x14ac:dyDescent="0.2">
      <c r="A9" s="360"/>
      <c r="B9" s="137" t="s">
        <v>226</v>
      </c>
      <c r="C9" s="130">
        <v>1300</v>
      </c>
      <c r="D9" s="134">
        <v>0</v>
      </c>
      <c r="E9" s="134">
        <v>0</v>
      </c>
      <c r="F9" s="134">
        <v>0</v>
      </c>
      <c r="G9" s="134">
        <v>0</v>
      </c>
      <c r="H9" s="136"/>
      <c r="I9" s="135">
        <v>0</v>
      </c>
      <c r="J9" s="135">
        <v>0</v>
      </c>
      <c r="K9" s="135">
        <v>0</v>
      </c>
      <c r="L9" s="135">
        <v>0</v>
      </c>
      <c r="M9" s="135">
        <v>0</v>
      </c>
      <c r="N9" s="135">
        <v>0</v>
      </c>
      <c r="O9" s="136"/>
      <c r="P9" s="135">
        <v>0</v>
      </c>
      <c r="Q9" s="135">
        <v>3510</v>
      </c>
      <c r="R9" s="135">
        <v>3510</v>
      </c>
      <c r="S9" s="135">
        <v>3510</v>
      </c>
      <c r="T9" s="135">
        <v>0</v>
      </c>
      <c r="U9" s="136"/>
      <c r="V9" s="135">
        <v>0</v>
      </c>
      <c r="W9" s="135">
        <v>3510</v>
      </c>
      <c r="X9" s="135">
        <v>3510</v>
      </c>
      <c r="Y9" s="135">
        <v>0</v>
      </c>
      <c r="Z9" s="136"/>
      <c r="AA9" s="135">
        <v>0</v>
      </c>
      <c r="AB9" s="135">
        <v>3510</v>
      </c>
      <c r="AC9" s="140">
        <v>0</v>
      </c>
    </row>
    <row r="10" spans="1:29" s="39" customFormat="1" ht="156" customHeight="1" x14ac:dyDescent="0.2">
      <c r="A10" s="361"/>
      <c r="B10" s="124" t="s">
        <v>227</v>
      </c>
      <c r="C10" s="125">
        <v>1900</v>
      </c>
      <c r="D10" s="126">
        <v>0</v>
      </c>
      <c r="E10" s="126">
        <v>0</v>
      </c>
      <c r="F10" s="126">
        <v>0</v>
      </c>
      <c r="G10" s="126">
        <v>0</v>
      </c>
      <c r="H10" s="127"/>
      <c r="I10" s="128">
        <v>0</v>
      </c>
      <c r="J10" s="128">
        <v>0</v>
      </c>
      <c r="K10" s="128">
        <v>5850</v>
      </c>
      <c r="L10" s="128">
        <v>6118.13</v>
      </c>
      <c r="M10" s="128">
        <v>6118.13</v>
      </c>
      <c r="N10" s="128">
        <v>6118.13</v>
      </c>
      <c r="O10" s="127"/>
      <c r="P10" s="128">
        <v>0</v>
      </c>
      <c r="Q10" s="128">
        <v>3510</v>
      </c>
      <c r="R10" s="128">
        <v>3510</v>
      </c>
      <c r="S10" s="128">
        <v>3510</v>
      </c>
      <c r="T10" s="128">
        <v>6210</v>
      </c>
      <c r="U10" s="127"/>
      <c r="V10" s="128">
        <v>0</v>
      </c>
      <c r="W10" s="128">
        <v>3510</v>
      </c>
      <c r="X10" s="128">
        <v>3510</v>
      </c>
      <c r="Y10" s="128">
        <v>6210</v>
      </c>
      <c r="Z10" s="127"/>
      <c r="AA10" s="128">
        <v>0</v>
      </c>
      <c r="AB10" s="128">
        <v>3510</v>
      </c>
      <c r="AC10" s="129">
        <v>6210</v>
      </c>
    </row>
    <row r="11" spans="1:29" s="213" customFormat="1" ht="127.5" customHeight="1" x14ac:dyDescent="0.2">
      <c r="A11" s="362" t="s">
        <v>40</v>
      </c>
      <c r="B11" s="219" t="s">
        <v>228</v>
      </c>
      <c r="C11" s="215">
        <v>1100</v>
      </c>
      <c r="D11" s="142">
        <v>0</v>
      </c>
      <c r="E11" s="142">
        <v>0</v>
      </c>
      <c r="F11" s="142">
        <v>0</v>
      </c>
      <c r="G11" s="142">
        <v>0</v>
      </c>
      <c r="H11" s="143"/>
      <c r="I11" s="141">
        <v>0</v>
      </c>
      <c r="J11" s="141">
        <v>0</v>
      </c>
      <c r="K11" s="141">
        <v>27300</v>
      </c>
      <c r="L11" s="141">
        <v>18200</v>
      </c>
      <c r="M11" s="141">
        <v>5200</v>
      </c>
      <c r="N11" s="141">
        <v>5200</v>
      </c>
      <c r="O11" s="143"/>
      <c r="P11" s="141">
        <v>0</v>
      </c>
      <c r="Q11" s="141">
        <v>0</v>
      </c>
      <c r="R11" s="141">
        <v>9100</v>
      </c>
      <c r="S11" s="141">
        <v>2600</v>
      </c>
      <c r="T11" s="141">
        <v>4347</v>
      </c>
      <c r="U11" s="143"/>
      <c r="V11" s="141">
        <v>0</v>
      </c>
      <c r="W11" s="141">
        <v>0</v>
      </c>
      <c r="X11" s="141">
        <v>0</v>
      </c>
      <c r="Y11" s="141">
        <v>0</v>
      </c>
      <c r="Z11" s="143"/>
      <c r="AA11" s="141">
        <v>0</v>
      </c>
      <c r="AB11" s="141">
        <v>0</v>
      </c>
      <c r="AC11" s="146">
        <v>0</v>
      </c>
    </row>
    <row r="12" spans="1:29" s="213" customFormat="1" ht="111" customHeight="1" x14ac:dyDescent="0.2">
      <c r="A12" s="360"/>
      <c r="B12" s="137" t="s">
        <v>229</v>
      </c>
      <c r="C12" s="216">
        <v>1300</v>
      </c>
      <c r="D12" s="134">
        <v>0</v>
      </c>
      <c r="E12" s="134">
        <v>0</v>
      </c>
      <c r="F12" s="134">
        <v>0</v>
      </c>
      <c r="G12" s="134">
        <v>0</v>
      </c>
      <c r="H12" s="136"/>
      <c r="I12" s="135">
        <v>0</v>
      </c>
      <c r="J12" s="135">
        <v>0</v>
      </c>
      <c r="K12" s="135">
        <v>4260</v>
      </c>
      <c r="L12" s="135">
        <v>2840</v>
      </c>
      <c r="M12" s="135">
        <v>2840</v>
      </c>
      <c r="N12" s="135">
        <v>2840</v>
      </c>
      <c r="O12" s="136"/>
      <c r="P12" s="135">
        <v>0</v>
      </c>
      <c r="Q12" s="135">
        <v>0</v>
      </c>
      <c r="R12" s="135">
        <v>1420</v>
      </c>
      <c r="S12" s="135">
        <v>1420</v>
      </c>
      <c r="T12" s="135">
        <v>2925</v>
      </c>
      <c r="U12" s="136"/>
      <c r="V12" s="135">
        <v>0</v>
      </c>
      <c r="W12" s="135">
        <v>0</v>
      </c>
      <c r="X12" s="135">
        <v>0</v>
      </c>
      <c r="Y12" s="135">
        <v>0</v>
      </c>
      <c r="Z12" s="136"/>
      <c r="AA12" s="135">
        <v>0</v>
      </c>
      <c r="AB12" s="135">
        <v>0</v>
      </c>
      <c r="AC12" s="140">
        <v>0</v>
      </c>
    </row>
    <row r="13" spans="1:29" s="213" customFormat="1" ht="121.5" customHeight="1" x14ac:dyDescent="0.2">
      <c r="A13" s="361"/>
      <c r="B13" s="124" t="s">
        <v>230</v>
      </c>
      <c r="C13" s="212">
        <v>1900</v>
      </c>
      <c r="D13" s="126">
        <v>0</v>
      </c>
      <c r="E13" s="126">
        <v>0</v>
      </c>
      <c r="F13" s="126">
        <v>0</v>
      </c>
      <c r="G13" s="126">
        <v>0</v>
      </c>
      <c r="H13" s="127"/>
      <c r="I13" s="128">
        <v>0</v>
      </c>
      <c r="J13" s="128">
        <v>0</v>
      </c>
      <c r="K13" s="128">
        <v>3900</v>
      </c>
      <c r="L13" s="128">
        <v>2600</v>
      </c>
      <c r="M13" s="128">
        <v>2600</v>
      </c>
      <c r="N13" s="128">
        <v>2600</v>
      </c>
      <c r="O13" s="127"/>
      <c r="P13" s="128">
        <v>0</v>
      </c>
      <c r="Q13" s="128">
        <v>0</v>
      </c>
      <c r="R13" s="128">
        <v>1300</v>
      </c>
      <c r="S13" s="128">
        <v>1300</v>
      </c>
      <c r="T13" s="128">
        <v>2173</v>
      </c>
      <c r="U13" s="127"/>
      <c r="V13" s="128">
        <v>0</v>
      </c>
      <c r="W13" s="128">
        <v>0</v>
      </c>
      <c r="X13" s="128">
        <v>0</v>
      </c>
      <c r="Y13" s="128">
        <v>0</v>
      </c>
      <c r="Z13" s="127"/>
      <c r="AA13" s="128">
        <v>0</v>
      </c>
      <c r="AB13" s="128">
        <v>0</v>
      </c>
      <c r="AC13" s="129">
        <v>0</v>
      </c>
    </row>
    <row r="14" spans="1:29" ht="84.75" customHeight="1" x14ac:dyDescent="0.2">
      <c r="A14" s="40" t="s">
        <v>38</v>
      </c>
      <c r="B14" s="7" t="s">
        <v>50</v>
      </c>
      <c r="C14" s="41">
        <v>1100</v>
      </c>
      <c r="D14" s="42">
        <v>6630</v>
      </c>
      <c r="E14" s="42">
        <v>6630</v>
      </c>
      <c r="F14" s="42">
        <v>6630</v>
      </c>
      <c r="G14" s="42">
        <v>2325.83</v>
      </c>
      <c r="H14" s="4"/>
      <c r="I14" s="5">
        <v>6630</v>
      </c>
      <c r="J14" s="5">
        <v>6630</v>
      </c>
      <c r="K14" s="5">
        <v>0</v>
      </c>
      <c r="L14" s="5">
        <v>0</v>
      </c>
      <c r="M14" s="5">
        <v>0</v>
      </c>
      <c r="N14" s="5">
        <v>0</v>
      </c>
      <c r="O14" s="4"/>
      <c r="P14" s="5">
        <v>6630</v>
      </c>
      <c r="Q14" s="5">
        <v>6630</v>
      </c>
      <c r="R14" s="5">
        <v>6630</v>
      </c>
      <c r="S14" s="5">
        <v>6630</v>
      </c>
      <c r="T14" s="5">
        <v>0</v>
      </c>
      <c r="U14" s="4"/>
      <c r="V14" s="5">
        <v>6630</v>
      </c>
      <c r="W14" s="5">
        <v>6630</v>
      </c>
      <c r="X14" s="5">
        <v>6630</v>
      </c>
      <c r="Y14" s="5">
        <v>0</v>
      </c>
      <c r="Z14" s="4"/>
      <c r="AA14" s="5">
        <v>6630</v>
      </c>
      <c r="AB14" s="5">
        <v>6630</v>
      </c>
      <c r="AC14" s="105">
        <v>0</v>
      </c>
    </row>
    <row r="15" spans="1:29" ht="127.5" customHeight="1" x14ac:dyDescent="0.2">
      <c r="A15" s="40" t="s">
        <v>38</v>
      </c>
      <c r="B15" s="8" t="s">
        <v>231</v>
      </c>
      <c r="C15" s="43">
        <v>1100</v>
      </c>
      <c r="D15" s="42">
        <v>7735</v>
      </c>
      <c r="E15" s="42">
        <v>7735</v>
      </c>
      <c r="F15" s="42">
        <v>7735</v>
      </c>
      <c r="G15" s="42">
        <v>0</v>
      </c>
      <c r="H15" s="4"/>
      <c r="I15" s="5">
        <v>7735</v>
      </c>
      <c r="J15" s="5">
        <v>7735</v>
      </c>
      <c r="K15" s="5">
        <v>7735</v>
      </c>
      <c r="L15" s="5">
        <v>7735</v>
      </c>
      <c r="M15" s="5">
        <v>6735</v>
      </c>
      <c r="N15" s="5">
        <v>6735</v>
      </c>
      <c r="O15" s="4"/>
      <c r="P15" s="5">
        <v>7735</v>
      </c>
      <c r="Q15" s="5">
        <v>7735</v>
      </c>
      <c r="R15" s="5">
        <v>7735</v>
      </c>
      <c r="S15" s="5">
        <v>7735</v>
      </c>
      <c r="T15" s="5">
        <v>8211</v>
      </c>
      <c r="U15" s="4"/>
      <c r="V15" s="5">
        <v>7735</v>
      </c>
      <c r="W15" s="5">
        <v>7735</v>
      </c>
      <c r="X15" s="5">
        <v>7735</v>
      </c>
      <c r="Y15" s="5">
        <v>8211</v>
      </c>
      <c r="Z15" s="4"/>
      <c r="AA15" s="5">
        <v>7735</v>
      </c>
      <c r="AB15" s="5">
        <v>7735</v>
      </c>
      <c r="AC15" s="257">
        <v>8211</v>
      </c>
    </row>
    <row r="16" spans="1:29" ht="185.25" customHeight="1" x14ac:dyDescent="0.2">
      <c r="A16" s="351" t="s">
        <v>40</v>
      </c>
      <c r="B16" s="217" t="s">
        <v>232</v>
      </c>
      <c r="C16" s="215">
        <v>1100</v>
      </c>
      <c r="D16" s="141">
        <v>0</v>
      </c>
      <c r="E16" s="142">
        <v>0</v>
      </c>
      <c r="F16" s="142">
        <v>0</v>
      </c>
      <c r="G16" s="142">
        <v>0</v>
      </c>
      <c r="H16" s="143"/>
      <c r="I16" s="141">
        <v>240390</v>
      </c>
      <c r="J16" s="141">
        <f>210600+19170</f>
        <v>229770</v>
      </c>
      <c r="K16" s="141">
        <f>187200+5850</f>
        <v>193050</v>
      </c>
      <c r="L16" s="141">
        <f>187200+5850</f>
        <v>193050</v>
      </c>
      <c r="M16" s="141">
        <f>187200+5850</f>
        <v>193050</v>
      </c>
      <c r="N16" s="141">
        <f>187200+5850</f>
        <v>193050</v>
      </c>
      <c r="O16" s="143"/>
      <c r="P16" s="141">
        <v>240390</v>
      </c>
      <c r="Q16" s="141">
        <f>187200+5850</f>
        <v>193050</v>
      </c>
      <c r="R16" s="141">
        <f>187200+5850</f>
        <v>193050</v>
      </c>
      <c r="S16" s="141">
        <f>187200+5850</f>
        <v>193050</v>
      </c>
      <c r="T16" s="141">
        <f>204930+6210</f>
        <v>211140</v>
      </c>
      <c r="U16" s="143"/>
      <c r="V16" s="141">
        <v>240390</v>
      </c>
      <c r="W16" s="141">
        <f>187200+5850</f>
        <v>193050</v>
      </c>
      <c r="X16" s="141">
        <f>187200+5850</f>
        <v>193050</v>
      </c>
      <c r="Y16" s="141">
        <f>204930+6210</f>
        <v>211140</v>
      </c>
      <c r="Z16" s="143"/>
      <c r="AA16" s="141">
        <v>240390</v>
      </c>
      <c r="AB16" s="141">
        <f>187200+5850</f>
        <v>193050</v>
      </c>
      <c r="AC16" s="258">
        <f>204930+6210</f>
        <v>211140</v>
      </c>
    </row>
    <row r="17" spans="1:29" ht="109.5" customHeight="1" x14ac:dyDescent="0.2">
      <c r="A17" s="352"/>
      <c r="B17" s="220" t="s">
        <v>145</v>
      </c>
      <c r="C17" s="216">
        <v>1300</v>
      </c>
      <c r="D17" s="135">
        <v>0</v>
      </c>
      <c r="E17" s="134">
        <v>0</v>
      </c>
      <c r="F17" s="134">
        <v>0</v>
      </c>
      <c r="G17" s="134">
        <v>0</v>
      </c>
      <c r="H17" s="136"/>
      <c r="I17" s="135">
        <v>0</v>
      </c>
      <c r="J17" s="135">
        <v>0</v>
      </c>
      <c r="K17" s="135">
        <f>6390+12780</f>
        <v>19170</v>
      </c>
      <c r="L17" s="135">
        <f>6390+12780</f>
        <v>19170</v>
      </c>
      <c r="M17" s="135">
        <f>6390+12780</f>
        <v>19170</v>
      </c>
      <c r="N17" s="135">
        <f>6390+12780</f>
        <v>19170</v>
      </c>
      <c r="O17" s="136"/>
      <c r="P17" s="135">
        <v>0</v>
      </c>
      <c r="Q17" s="135">
        <f>6390+12780</f>
        <v>19170</v>
      </c>
      <c r="R17" s="135">
        <f>6390+12780</f>
        <v>19170</v>
      </c>
      <c r="S17" s="135">
        <f>6390+12780</f>
        <v>19170</v>
      </c>
      <c r="T17" s="135">
        <f>6390+12780</f>
        <v>19170</v>
      </c>
      <c r="U17" s="136"/>
      <c r="V17" s="135">
        <v>0</v>
      </c>
      <c r="W17" s="135">
        <f>6390+12780</f>
        <v>19170</v>
      </c>
      <c r="X17" s="135">
        <f>6390+12780</f>
        <v>19170</v>
      </c>
      <c r="Y17" s="135">
        <f>6390+12780</f>
        <v>19170</v>
      </c>
      <c r="Z17" s="136"/>
      <c r="AA17" s="135">
        <v>0</v>
      </c>
      <c r="AB17" s="135">
        <f>6390+12780</f>
        <v>19170</v>
      </c>
      <c r="AC17" s="140">
        <f>6390+12780</f>
        <v>19170</v>
      </c>
    </row>
    <row r="18" spans="1:29" ht="150" x14ac:dyDescent="0.2">
      <c r="A18" s="353"/>
      <c r="B18" s="218" t="s">
        <v>233</v>
      </c>
      <c r="C18" s="212">
        <v>1900</v>
      </c>
      <c r="D18" s="126">
        <v>0</v>
      </c>
      <c r="E18" s="126">
        <v>0</v>
      </c>
      <c r="F18" s="126">
        <v>0</v>
      </c>
      <c r="G18" s="126">
        <v>0</v>
      </c>
      <c r="H18" s="127"/>
      <c r="I18" s="128">
        <v>0</v>
      </c>
      <c r="J18" s="128">
        <v>0</v>
      </c>
      <c r="K18" s="128">
        <v>17550</v>
      </c>
      <c r="L18" s="128">
        <v>17550</v>
      </c>
      <c r="M18" s="128">
        <v>18360</v>
      </c>
      <c r="N18" s="128">
        <v>18360</v>
      </c>
      <c r="O18" s="127"/>
      <c r="P18" s="128">
        <v>0</v>
      </c>
      <c r="Q18" s="128">
        <v>17550</v>
      </c>
      <c r="R18" s="128">
        <v>17550</v>
      </c>
      <c r="S18" s="128">
        <v>17550</v>
      </c>
      <c r="T18" s="128">
        <v>19440</v>
      </c>
      <c r="U18" s="127"/>
      <c r="V18" s="128">
        <v>0</v>
      </c>
      <c r="W18" s="128">
        <v>17550</v>
      </c>
      <c r="X18" s="128">
        <v>17550</v>
      </c>
      <c r="Y18" s="128">
        <v>19440</v>
      </c>
      <c r="Z18" s="127"/>
      <c r="AA18" s="128">
        <v>0</v>
      </c>
      <c r="AB18" s="128">
        <v>17550</v>
      </c>
      <c r="AC18" s="259">
        <v>19440</v>
      </c>
    </row>
    <row r="19" spans="1:29" ht="353.25" customHeight="1" x14ac:dyDescent="0.2">
      <c r="A19" s="351" t="s">
        <v>39</v>
      </c>
      <c r="B19" s="217" t="s">
        <v>234</v>
      </c>
      <c r="C19" s="253">
        <v>1100</v>
      </c>
      <c r="D19" s="141">
        <v>26000</v>
      </c>
      <c r="E19" s="142">
        <v>26000</v>
      </c>
      <c r="F19" s="142">
        <v>26000</v>
      </c>
      <c r="G19" s="142">
        <v>7336.91</v>
      </c>
      <c r="H19" s="143"/>
      <c r="I19" s="141">
        <v>26000</v>
      </c>
      <c r="J19" s="141">
        <v>26000</v>
      </c>
      <c r="K19" s="142">
        <v>22100</v>
      </c>
      <c r="L19" s="142">
        <f>22100+16640+520</f>
        <v>39260</v>
      </c>
      <c r="M19" s="142">
        <f>22100+16640+520</f>
        <v>39260</v>
      </c>
      <c r="N19" s="142">
        <f>22100+16640+520</f>
        <v>39260</v>
      </c>
      <c r="O19" s="143"/>
      <c r="P19" s="141">
        <v>26000</v>
      </c>
      <c r="Q19" s="142">
        <v>22100</v>
      </c>
      <c r="R19" s="142">
        <v>22100</v>
      </c>
      <c r="S19" s="142">
        <v>22100</v>
      </c>
      <c r="T19" s="142">
        <f>22770+690+27324+828</f>
        <v>51612</v>
      </c>
      <c r="U19" s="143"/>
      <c r="V19" s="141">
        <v>26000</v>
      </c>
      <c r="W19" s="142">
        <v>22100</v>
      </c>
      <c r="X19" s="142">
        <v>22100</v>
      </c>
      <c r="Y19" s="142">
        <f>22770+690</f>
        <v>23460</v>
      </c>
      <c r="Z19" s="143"/>
      <c r="AA19" s="141">
        <v>26000</v>
      </c>
      <c r="AB19" s="141">
        <v>22100</v>
      </c>
      <c r="AC19" s="146">
        <f>22770+690</f>
        <v>23460</v>
      </c>
    </row>
    <row r="20" spans="1:29" ht="400.5" customHeight="1" x14ac:dyDescent="0.2">
      <c r="A20" s="352"/>
      <c r="B20" s="220" t="s">
        <v>235</v>
      </c>
      <c r="C20" s="254">
        <v>1300</v>
      </c>
      <c r="D20" s="135">
        <v>0</v>
      </c>
      <c r="E20" s="134">
        <v>0</v>
      </c>
      <c r="F20" s="134">
        <v>0</v>
      </c>
      <c r="G20" s="134">
        <v>2104.0300000000002</v>
      </c>
      <c r="H20" s="136"/>
      <c r="I20" s="135">
        <v>0</v>
      </c>
      <c r="J20" s="135">
        <v>0</v>
      </c>
      <c r="K20" s="134">
        <v>1950</v>
      </c>
      <c r="L20" s="134">
        <f>1950+568+1704+568</f>
        <v>4790</v>
      </c>
      <c r="M20" s="134">
        <v>7100</v>
      </c>
      <c r="N20" s="134">
        <v>7100</v>
      </c>
      <c r="O20" s="136"/>
      <c r="P20" s="135">
        <v>0</v>
      </c>
      <c r="Q20" s="134">
        <v>1950</v>
      </c>
      <c r="R20" s="134">
        <v>1950</v>
      </c>
      <c r="S20" s="134">
        <v>1950</v>
      </c>
      <c r="T20" s="134">
        <f>4260+2556</f>
        <v>6816</v>
      </c>
      <c r="U20" s="136"/>
      <c r="V20" s="135">
        <v>0</v>
      </c>
      <c r="W20" s="134">
        <v>1950</v>
      </c>
      <c r="X20" s="134">
        <v>1950</v>
      </c>
      <c r="Y20" s="134">
        <v>2130</v>
      </c>
      <c r="Z20" s="136"/>
      <c r="AA20" s="135">
        <v>0</v>
      </c>
      <c r="AB20" s="135">
        <v>1950</v>
      </c>
      <c r="AC20" s="140">
        <v>2130</v>
      </c>
    </row>
    <row r="21" spans="1:29" ht="366.75" customHeight="1" x14ac:dyDescent="0.2">
      <c r="A21" s="353"/>
      <c r="B21" s="218" t="s">
        <v>236</v>
      </c>
      <c r="C21" s="63">
        <v>1900</v>
      </c>
      <c r="D21" s="126">
        <v>0</v>
      </c>
      <c r="E21" s="126">
        <v>0</v>
      </c>
      <c r="F21" s="126">
        <v>0</v>
      </c>
      <c r="G21" s="126">
        <v>947.08</v>
      </c>
      <c r="H21" s="127"/>
      <c r="I21" s="128">
        <v>0</v>
      </c>
      <c r="J21" s="128">
        <v>0</v>
      </c>
      <c r="K21" s="126">
        <v>1950</v>
      </c>
      <c r="L21" s="126">
        <f>1950+1560</f>
        <v>3510</v>
      </c>
      <c r="M21" s="126">
        <f>1950+1632</f>
        <v>3582</v>
      </c>
      <c r="N21" s="126">
        <f>1950+1632</f>
        <v>3582</v>
      </c>
      <c r="O21" s="127"/>
      <c r="P21" s="128">
        <v>0</v>
      </c>
      <c r="Q21" s="126">
        <v>1950</v>
      </c>
      <c r="R21" s="126">
        <v>1950</v>
      </c>
      <c r="S21" s="126">
        <v>1950</v>
      </c>
      <c r="T21" s="126">
        <f>4320+3726</f>
        <v>8046</v>
      </c>
      <c r="U21" s="127"/>
      <c r="V21" s="128">
        <v>0</v>
      </c>
      <c r="W21" s="126">
        <v>1950</v>
      </c>
      <c r="X21" s="126">
        <v>1950</v>
      </c>
      <c r="Y21" s="126">
        <v>2160</v>
      </c>
      <c r="Z21" s="127"/>
      <c r="AA21" s="128">
        <v>0</v>
      </c>
      <c r="AB21" s="128">
        <v>1950</v>
      </c>
      <c r="AC21" s="129">
        <v>2160</v>
      </c>
    </row>
    <row r="22" spans="1:29" ht="241.5" customHeight="1" x14ac:dyDescent="0.2">
      <c r="A22" s="351" t="s">
        <v>40</v>
      </c>
      <c r="B22" s="217" t="s">
        <v>237</v>
      </c>
      <c r="C22" s="144">
        <v>1100</v>
      </c>
      <c r="D22" s="141">
        <v>0</v>
      </c>
      <c r="E22" s="141">
        <v>0</v>
      </c>
      <c r="F22" s="141">
        <v>0</v>
      </c>
      <c r="G22" s="141">
        <v>0</v>
      </c>
      <c r="H22" s="143"/>
      <c r="I22" s="141">
        <v>21847</v>
      </c>
      <c r="J22" s="141">
        <v>21847</v>
      </c>
      <c r="K22" s="141">
        <v>24570</v>
      </c>
      <c r="L22" s="141">
        <f>24570+10530</f>
        <v>35100</v>
      </c>
      <c r="M22" s="141">
        <f>24570+10530</f>
        <v>35100</v>
      </c>
      <c r="N22" s="141">
        <f>24570+10530</f>
        <v>35100</v>
      </c>
      <c r="O22" s="143"/>
      <c r="P22" s="141">
        <v>21847</v>
      </c>
      <c r="Q22" s="141">
        <v>16380</v>
      </c>
      <c r="R22" s="141">
        <v>16380</v>
      </c>
      <c r="S22" s="141">
        <v>16380</v>
      </c>
      <c r="T22" s="141">
        <f>2174+26082</f>
        <v>28256</v>
      </c>
      <c r="U22" s="143"/>
      <c r="V22" s="141">
        <v>21847</v>
      </c>
      <c r="W22" s="141">
        <v>16380</v>
      </c>
      <c r="X22" s="141">
        <v>16380</v>
      </c>
      <c r="Y22" s="141">
        <f>17388</f>
        <v>17388</v>
      </c>
      <c r="Z22" s="143"/>
      <c r="AA22" s="141">
        <v>21847</v>
      </c>
      <c r="AB22" s="141">
        <v>16380</v>
      </c>
      <c r="AC22" s="258">
        <v>17388</v>
      </c>
    </row>
    <row r="23" spans="1:29" ht="139.5" customHeight="1" x14ac:dyDescent="0.2">
      <c r="A23" s="353"/>
      <c r="B23" s="218" t="s">
        <v>238</v>
      </c>
      <c r="C23" s="125">
        <v>1300</v>
      </c>
      <c r="D23" s="128">
        <v>0</v>
      </c>
      <c r="E23" s="128">
        <v>0</v>
      </c>
      <c r="F23" s="128">
        <v>0</v>
      </c>
      <c r="G23" s="128">
        <v>0</v>
      </c>
      <c r="H23" s="127"/>
      <c r="I23" s="128">
        <v>0</v>
      </c>
      <c r="J23" s="128">
        <v>0</v>
      </c>
      <c r="K23" s="128">
        <v>8201</v>
      </c>
      <c r="L23" s="128">
        <v>8201</v>
      </c>
      <c r="M23" s="128">
        <v>8201</v>
      </c>
      <c r="N23" s="128">
        <v>8201</v>
      </c>
      <c r="O23" s="127"/>
      <c r="P23" s="128">
        <v>0</v>
      </c>
      <c r="Q23" s="128">
        <v>5467</v>
      </c>
      <c r="R23" s="128">
        <v>5467</v>
      </c>
      <c r="S23" s="128">
        <v>5467</v>
      </c>
      <c r="T23" s="128">
        <v>8201</v>
      </c>
      <c r="U23" s="127"/>
      <c r="V23" s="128">
        <v>0</v>
      </c>
      <c r="W23" s="128">
        <v>5467</v>
      </c>
      <c r="X23" s="128">
        <v>5467</v>
      </c>
      <c r="Y23" s="128">
        <v>8201</v>
      </c>
      <c r="Z23" s="127"/>
      <c r="AA23" s="128">
        <v>0</v>
      </c>
      <c r="AB23" s="128">
        <v>5467</v>
      </c>
      <c r="AC23" s="259">
        <v>8201</v>
      </c>
    </row>
    <row r="24" spans="1:29" ht="68.25" customHeight="1" x14ac:dyDescent="0.2">
      <c r="A24" s="44" t="s">
        <v>44</v>
      </c>
      <c r="B24" s="8" t="s">
        <v>187</v>
      </c>
      <c r="C24" s="125">
        <v>1100</v>
      </c>
      <c r="D24" s="128"/>
      <c r="E24" s="128"/>
      <c r="F24" s="128">
        <v>0</v>
      </c>
      <c r="G24" s="128">
        <v>0</v>
      </c>
      <c r="H24" s="127"/>
      <c r="I24" s="128"/>
      <c r="J24" s="128"/>
      <c r="K24" s="128"/>
      <c r="L24" s="128">
        <v>0</v>
      </c>
      <c r="M24" s="128">
        <v>2090</v>
      </c>
      <c r="N24" s="128">
        <v>2090</v>
      </c>
      <c r="O24" s="127"/>
      <c r="P24" s="128"/>
      <c r="Q24" s="128"/>
      <c r="R24" s="128">
        <v>0</v>
      </c>
      <c r="S24" s="128">
        <v>0</v>
      </c>
      <c r="T24" s="128">
        <v>0</v>
      </c>
      <c r="U24" s="127"/>
      <c r="V24" s="128"/>
      <c r="W24" s="128">
        <v>0</v>
      </c>
      <c r="X24" s="128">
        <v>0</v>
      </c>
      <c r="Y24" s="128">
        <v>0</v>
      </c>
      <c r="Z24" s="127"/>
      <c r="AA24" s="128"/>
      <c r="AB24" s="128">
        <v>0</v>
      </c>
      <c r="AC24" s="129">
        <v>0</v>
      </c>
    </row>
    <row r="25" spans="1:29" ht="82.35" customHeight="1" x14ac:dyDescent="0.2">
      <c r="A25" s="252" t="s">
        <v>176</v>
      </c>
      <c r="B25" s="237" t="s">
        <v>178</v>
      </c>
      <c r="C25" s="125">
        <v>1200</v>
      </c>
      <c r="D25" s="128"/>
      <c r="E25" s="128"/>
      <c r="F25" s="128">
        <v>0</v>
      </c>
      <c r="G25" s="128">
        <v>0</v>
      </c>
      <c r="H25" s="127"/>
      <c r="I25" s="128"/>
      <c r="J25" s="128">
        <v>0</v>
      </c>
      <c r="K25" s="128">
        <v>0</v>
      </c>
      <c r="L25" s="128">
        <v>14073</v>
      </c>
      <c r="M25" s="128">
        <v>9165</v>
      </c>
      <c r="N25" s="128">
        <v>9165</v>
      </c>
      <c r="O25" s="127"/>
      <c r="P25" s="128">
        <v>0</v>
      </c>
      <c r="Q25" s="128">
        <v>0</v>
      </c>
      <c r="R25" s="128">
        <v>0</v>
      </c>
      <c r="S25" s="128">
        <v>0</v>
      </c>
      <c r="T25" s="128">
        <v>51345</v>
      </c>
      <c r="U25" s="127"/>
      <c r="V25" s="128">
        <v>0</v>
      </c>
      <c r="W25" s="128">
        <v>0</v>
      </c>
      <c r="X25" s="128">
        <v>0</v>
      </c>
      <c r="Y25" s="128">
        <v>51345</v>
      </c>
      <c r="Z25" s="127"/>
      <c r="AA25" s="128">
        <v>0</v>
      </c>
      <c r="AB25" s="128">
        <v>0</v>
      </c>
      <c r="AC25" s="129">
        <v>0</v>
      </c>
    </row>
    <row r="26" spans="1:29" ht="158.25" customHeight="1" x14ac:dyDescent="0.2">
      <c r="A26" s="44" t="s">
        <v>44</v>
      </c>
      <c r="B26" s="8" t="s">
        <v>239</v>
      </c>
      <c r="C26" s="43">
        <v>1900</v>
      </c>
      <c r="D26" s="5">
        <v>0</v>
      </c>
      <c r="E26" s="5">
        <v>0</v>
      </c>
      <c r="F26" s="5">
        <v>0</v>
      </c>
      <c r="G26" s="5">
        <v>0</v>
      </c>
      <c r="H26" s="4"/>
      <c r="I26" s="5">
        <v>81391</v>
      </c>
      <c r="J26" s="5">
        <v>81391</v>
      </c>
      <c r="K26" s="5">
        <f>82802+1274</f>
        <v>84076</v>
      </c>
      <c r="L26" s="5">
        <f>82802+1274</f>
        <v>84076</v>
      </c>
      <c r="M26" s="5">
        <f>82802+1274</f>
        <v>84076</v>
      </c>
      <c r="N26" s="5">
        <f>82802+1274</f>
        <v>84076</v>
      </c>
      <c r="O26" s="4"/>
      <c r="P26" s="5">
        <v>81391</v>
      </c>
      <c r="Q26" s="5">
        <v>81391</v>
      </c>
      <c r="R26" s="5">
        <v>81391</v>
      </c>
      <c r="S26" s="5">
        <v>81391</v>
      </c>
      <c r="T26" s="5">
        <f>77945+1312+42498+657</f>
        <v>122412</v>
      </c>
      <c r="U26" s="4"/>
      <c r="V26" s="5">
        <v>81391</v>
      </c>
      <c r="W26" s="5">
        <v>81391</v>
      </c>
      <c r="X26" s="5">
        <v>81391</v>
      </c>
      <c r="Y26" s="5">
        <f>77945+1312+42498+657</f>
        <v>122412</v>
      </c>
      <c r="Z26" s="4"/>
      <c r="AA26" s="5">
        <v>0</v>
      </c>
      <c r="AB26" s="5">
        <v>0</v>
      </c>
      <c r="AC26" s="105">
        <v>0</v>
      </c>
    </row>
    <row r="27" spans="1:29" ht="262.5" customHeight="1" x14ac:dyDescent="0.2">
      <c r="A27" s="44" t="s">
        <v>44</v>
      </c>
      <c r="B27" s="8" t="s">
        <v>143</v>
      </c>
      <c r="C27" s="43">
        <v>1100</v>
      </c>
      <c r="D27" s="5">
        <v>0</v>
      </c>
      <c r="E27" s="5">
        <v>0</v>
      </c>
      <c r="F27" s="5">
        <v>0</v>
      </c>
      <c r="G27" s="5">
        <v>0</v>
      </c>
      <c r="H27" s="4"/>
      <c r="I27" s="5">
        <v>81647</v>
      </c>
      <c r="J27" s="5">
        <v>81647</v>
      </c>
      <c r="K27" s="5">
        <f>82802+1530</f>
        <v>84332</v>
      </c>
      <c r="L27" s="5">
        <f>82802+1530</f>
        <v>84332</v>
      </c>
      <c r="M27" s="5">
        <f>82802+1530</f>
        <v>84332</v>
      </c>
      <c r="N27" s="5">
        <f>82802+1530</f>
        <v>84332</v>
      </c>
      <c r="O27" s="4"/>
      <c r="P27" s="5">
        <v>81647</v>
      </c>
      <c r="Q27" s="5">
        <v>81647</v>
      </c>
      <c r="R27" s="5">
        <v>81647</v>
      </c>
      <c r="S27" s="5">
        <v>81647</v>
      </c>
      <c r="T27" s="5">
        <f>87845+1624</f>
        <v>89469</v>
      </c>
      <c r="U27" s="4"/>
      <c r="V27" s="5">
        <v>81647</v>
      </c>
      <c r="W27" s="5">
        <v>81647</v>
      </c>
      <c r="X27" s="5">
        <v>81647</v>
      </c>
      <c r="Y27" s="5">
        <f>87845+1624</f>
        <v>89469</v>
      </c>
      <c r="Z27" s="4"/>
      <c r="AA27" s="5">
        <v>81647</v>
      </c>
      <c r="AB27" s="5">
        <v>81647</v>
      </c>
      <c r="AC27" s="257">
        <f>87845+1624</f>
        <v>89469</v>
      </c>
    </row>
    <row r="28" spans="1:29" ht="124.5" customHeight="1" x14ac:dyDescent="0.2">
      <c r="A28" s="44" t="s">
        <v>44</v>
      </c>
      <c r="B28" s="8" t="s">
        <v>182</v>
      </c>
      <c r="C28" s="43">
        <v>1100</v>
      </c>
      <c r="D28" s="5">
        <v>0</v>
      </c>
      <c r="E28" s="5">
        <v>0</v>
      </c>
      <c r="F28" s="5">
        <v>0</v>
      </c>
      <c r="G28" s="5">
        <v>0</v>
      </c>
      <c r="H28" s="4"/>
      <c r="I28" s="5">
        <v>161906</v>
      </c>
      <c r="J28" s="5">
        <v>161906</v>
      </c>
      <c r="K28" s="5">
        <f>82802+62743</f>
        <v>145545</v>
      </c>
      <c r="L28" s="5">
        <f>82802+62743+10727+1672</f>
        <v>157944</v>
      </c>
      <c r="M28" s="5">
        <f>82802+62743+10727+1672</f>
        <v>157944</v>
      </c>
      <c r="N28" s="5">
        <f>82802+62743+10727+1672</f>
        <v>157944</v>
      </c>
      <c r="O28" s="4"/>
      <c r="P28" s="5">
        <v>161906</v>
      </c>
      <c r="Q28" s="5">
        <v>161906</v>
      </c>
      <c r="R28" s="5">
        <v>161906</v>
      </c>
      <c r="S28" s="5">
        <v>161906</v>
      </c>
      <c r="T28" s="5">
        <f>87845+87845</f>
        <v>175690</v>
      </c>
      <c r="U28" s="4"/>
      <c r="V28" s="5">
        <v>161906</v>
      </c>
      <c r="W28" s="5">
        <v>161906</v>
      </c>
      <c r="X28" s="5">
        <v>161906</v>
      </c>
      <c r="Y28" s="5">
        <f>87845+87845</f>
        <v>175690</v>
      </c>
      <c r="Z28" s="4"/>
      <c r="AA28" s="5">
        <v>0</v>
      </c>
      <c r="AB28" s="5">
        <v>0</v>
      </c>
      <c r="AC28" s="105">
        <v>0</v>
      </c>
    </row>
    <row r="29" spans="1:29" ht="76.5" customHeight="1" x14ac:dyDescent="0.2">
      <c r="A29" s="44" t="s">
        <v>44</v>
      </c>
      <c r="B29" s="8" t="s">
        <v>174</v>
      </c>
      <c r="C29" s="43">
        <v>1100</v>
      </c>
      <c r="D29" s="5"/>
      <c r="E29" s="5"/>
      <c r="F29" s="5">
        <v>0</v>
      </c>
      <c r="G29" s="5">
        <v>0</v>
      </c>
      <c r="H29" s="4"/>
      <c r="I29" s="5"/>
      <c r="J29" s="5"/>
      <c r="K29" s="5">
        <v>0</v>
      </c>
      <c r="L29" s="5">
        <v>9807</v>
      </c>
      <c r="M29" s="5">
        <f>9807</f>
        <v>9807</v>
      </c>
      <c r="N29" s="5">
        <f>9807</f>
        <v>9807</v>
      </c>
      <c r="O29" s="4"/>
      <c r="P29" s="5"/>
      <c r="Q29" s="5">
        <v>0</v>
      </c>
      <c r="R29" s="5">
        <v>0</v>
      </c>
      <c r="S29" s="5">
        <v>0</v>
      </c>
      <c r="T29" s="5">
        <v>17280</v>
      </c>
      <c r="U29" s="4"/>
      <c r="V29" s="5"/>
      <c r="W29" s="5">
        <v>0</v>
      </c>
      <c r="X29" s="5">
        <v>0</v>
      </c>
      <c r="Y29" s="5">
        <v>17280</v>
      </c>
      <c r="Z29" s="4"/>
      <c r="AA29" s="5"/>
      <c r="AB29" s="5">
        <v>0</v>
      </c>
      <c r="AC29" s="105">
        <v>0</v>
      </c>
    </row>
    <row r="30" spans="1:29" ht="139.5" customHeight="1" x14ac:dyDescent="0.2">
      <c r="A30" s="44" t="s">
        <v>51</v>
      </c>
      <c r="B30" s="8" t="s">
        <v>162</v>
      </c>
      <c r="C30" s="43">
        <v>1300</v>
      </c>
      <c r="D30" s="5">
        <v>55471</v>
      </c>
      <c r="E30" s="5">
        <v>38213</v>
      </c>
      <c r="F30" s="5">
        <v>18651</v>
      </c>
      <c r="G30" s="5">
        <v>17025.669999999998</v>
      </c>
      <c r="H30" s="4"/>
      <c r="I30" s="5">
        <v>110941</v>
      </c>
      <c r="J30" s="5">
        <v>98234</v>
      </c>
      <c r="K30" s="5">
        <v>92999</v>
      </c>
      <c r="L30" s="5">
        <v>92999</v>
      </c>
      <c r="M30" s="5">
        <v>92999</v>
      </c>
      <c r="N30" s="5">
        <v>92999</v>
      </c>
      <c r="O30" s="4"/>
      <c r="P30" s="5">
        <v>110941</v>
      </c>
      <c r="Q30" s="5">
        <v>110941</v>
      </c>
      <c r="R30" s="5">
        <v>110941</v>
      </c>
      <c r="S30" s="5">
        <v>110941</v>
      </c>
      <c r="T30" s="5">
        <v>104217</v>
      </c>
      <c r="U30" s="4"/>
      <c r="V30" s="5">
        <v>110941</v>
      </c>
      <c r="W30" s="5">
        <v>110941</v>
      </c>
      <c r="X30" s="5">
        <v>110941</v>
      </c>
      <c r="Y30" s="5">
        <v>104217</v>
      </c>
      <c r="Z30" s="4"/>
      <c r="AA30" s="5">
        <v>110941</v>
      </c>
      <c r="AB30" s="5">
        <v>110941</v>
      </c>
      <c r="AC30" s="257">
        <v>104217</v>
      </c>
    </row>
    <row r="31" spans="1:29" ht="30" x14ac:dyDescent="0.2">
      <c r="A31" s="44" t="s">
        <v>210</v>
      </c>
      <c r="B31" s="8" t="s">
        <v>212</v>
      </c>
      <c r="C31" s="43">
        <v>1100</v>
      </c>
      <c r="D31" s="5">
        <v>0</v>
      </c>
      <c r="E31" s="5">
        <v>0</v>
      </c>
      <c r="F31" s="5">
        <v>0</v>
      </c>
      <c r="G31" s="5">
        <v>0</v>
      </c>
      <c r="H31" s="4"/>
      <c r="I31" s="5">
        <v>0</v>
      </c>
      <c r="J31" s="5">
        <v>0</v>
      </c>
      <c r="K31" s="5">
        <v>0</v>
      </c>
      <c r="L31" s="5">
        <v>0</v>
      </c>
      <c r="M31" s="5">
        <v>0</v>
      </c>
      <c r="N31" s="5">
        <v>0</v>
      </c>
      <c r="O31" s="4"/>
      <c r="P31" s="5">
        <v>0</v>
      </c>
      <c r="Q31" s="5">
        <v>0</v>
      </c>
      <c r="R31" s="5">
        <v>0</v>
      </c>
      <c r="S31" s="5">
        <v>0</v>
      </c>
      <c r="T31" s="5">
        <f>ROUNDUP(521136.77*0.03,0)</f>
        <v>15635</v>
      </c>
      <c r="U31" s="4"/>
      <c r="V31" s="5">
        <v>0</v>
      </c>
      <c r="W31" s="5">
        <v>0</v>
      </c>
      <c r="X31" s="5">
        <v>0</v>
      </c>
      <c r="Y31" s="5">
        <v>0</v>
      </c>
      <c r="Z31" s="4"/>
      <c r="AA31" s="5">
        <v>0</v>
      </c>
      <c r="AB31" s="5">
        <v>0</v>
      </c>
      <c r="AC31" s="105">
        <v>0</v>
      </c>
    </row>
    <row r="32" spans="1:29" ht="30" x14ac:dyDescent="0.2">
      <c r="A32" s="44" t="s">
        <v>210</v>
      </c>
      <c r="B32" s="8" t="s">
        <v>212</v>
      </c>
      <c r="C32" s="43">
        <v>1200</v>
      </c>
      <c r="D32" s="5">
        <v>0</v>
      </c>
      <c r="E32" s="5">
        <v>0</v>
      </c>
      <c r="F32" s="5">
        <v>0</v>
      </c>
      <c r="G32" s="5">
        <v>0</v>
      </c>
      <c r="H32" s="4"/>
      <c r="I32" s="5">
        <v>0</v>
      </c>
      <c r="J32" s="5">
        <v>0</v>
      </c>
      <c r="K32" s="5">
        <v>0</v>
      </c>
      <c r="L32" s="5">
        <v>0</v>
      </c>
      <c r="M32" s="5">
        <v>0</v>
      </c>
      <c r="N32" s="5">
        <v>0</v>
      </c>
      <c r="O32" s="4"/>
      <c r="P32" s="5">
        <v>0</v>
      </c>
      <c r="Q32" s="5">
        <v>0</v>
      </c>
      <c r="R32" s="5">
        <v>0</v>
      </c>
      <c r="S32" s="5">
        <v>0</v>
      </c>
      <c r="T32" s="5">
        <f>ROUNDUP(6381.29*0.03,0)</f>
        <v>192</v>
      </c>
      <c r="U32" s="4"/>
      <c r="V32" s="5">
        <v>0</v>
      </c>
      <c r="W32" s="5">
        <v>0</v>
      </c>
      <c r="X32" s="5">
        <v>0</v>
      </c>
      <c r="Y32" s="5">
        <v>0</v>
      </c>
      <c r="Z32" s="4"/>
      <c r="AA32" s="5">
        <v>0</v>
      </c>
      <c r="AB32" s="5">
        <v>0</v>
      </c>
      <c r="AC32" s="105">
        <v>0</v>
      </c>
    </row>
    <row r="33" spans="1:29" ht="30" x14ac:dyDescent="0.2">
      <c r="A33" s="44" t="s">
        <v>210</v>
      </c>
      <c r="B33" s="8" t="s">
        <v>212</v>
      </c>
      <c r="C33" s="43">
        <v>1300</v>
      </c>
      <c r="D33" s="5">
        <v>0</v>
      </c>
      <c r="E33" s="5">
        <v>0</v>
      </c>
      <c r="F33" s="5">
        <v>0</v>
      </c>
      <c r="G33" s="5">
        <v>0</v>
      </c>
      <c r="H33" s="4"/>
      <c r="I33" s="5">
        <v>0</v>
      </c>
      <c r="J33" s="5">
        <v>0</v>
      </c>
      <c r="K33" s="5">
        <v>0</v>
      </c>
      <c r="L33" s="5">
        <v>0</v>
      </c>
      <c r="M33" s="5">
        <v>0</v>
      </c>
      <c r="N33" s="5">
        <v>0</v>
      </c>
      <c r="O33" s="4"/>
      <c r="P33" s="5">
        <v>0</v>
      </c>
      <c r="Q33" s="5">
        <v>0</v>
      </c>
      <c r="R33" s="5">
        <v>0</v>
      </c>
      <c r="S33" s="5">
        <v>0</v>
      </c>
      <c r="T33" s="5">
        <f>ROUNDUP(118231.42*0.03,0)</f>
        <v>3547</v>
      </c>
      <c r="U33" s="4"/>
      <c r="V33" s="5">
        <v>0</v>
      </c>
      <c r="W33" s="5">
        <v>0</v>
      </c>
      <c r="X33" s="5">
        <v>0</v>
      </c>
      <c r="Y33" s="5">
        <v>0</v>
      </c>
      <c r="Z33" s="4"/>
      <c r="AA33" s="5">
        <v>0</v>
      </c>
      <c r="AB33" s="5">
        <v>0</v>
      </c>
      <c r="AC33" s="105">
        <v>0</v>
      </c>
    </row>
    <row r="34" spans="1:29" ht="30" x14ac:dyDescent="0.2">
      <c r="A34" s="44" t="s">
        <v>210</v>
      </c>
      <c r="B34" s="8" t="s">
        <v>212</v>
      </c>
      <c r="C34" s="43">
        <v>1900</v>
      </c>
      <c r="D34" s="5">
        <v>0</v>
      </c>
      <c r="E34" s="5">
        <v>0</v>
      </c>
      <c r="F34" s="5">
        <v>0</v>
      </c>
      <c r="G34" s="5">
        <v>0</v>
      </c>
      <c r="H34" s="4"/>
      <c r="I34" s="5">
        <v>0</v>
      </c>
      <c r="J34" s="5">
        <v>0</v>
      </c>
      <c r="K34" s="5">
        <v>0</v>
      </c>
      <c r="L34" s="5">
        <v>0</v>
      </c>
      <c r="M34" s="5">
        <v>0</v>
      </c>
      <c r="N34" s="5">
        <v>0</v>
      </c>
      <c r="O34" s="4"/>
      <c r="P34" s="5">
        <v>0</v>
      </c>
      <c r="Q34" s="5">
        <v>0</v>
      </c>
      <c r="R34" s="5">
        <v>0</v>
      </c>
      <c r="S34" s="5">
        <v>0</v>
      </c>
      <c r="T34" s="5">
        <f>ROUNDUP(113127.69*0.03,0)</f>
        <v>3394</v>
      </c>
      <c r="U34" s="4"/>
      <c r="V34" s="5">
        <v>0</v>
      </c>
      <c r="W34" s="5">
        <v>0</v>
      </c>
      <c r="X34" s="5">
        <v>0</v>
      </c>
      <c r="Y34" s="5">
        <v>0</v>
      </c>
      <c r="Z34" s="4"/>
      <c r="AA34" s="5">
        <v>0</v>
      </c>
      <c r="AB34" s="5">
        <v>0</v>
      </c>
      <c r="AC34" s="105">
        <v>0</v>
      </c>
    </row>
    <row r="35" spans="1:29" ht="15" customHeight="1" x14ac:dyDescent="0.2">
      <c r="A35" s="45"/>
      <c r="B35" s="46" t="s">
        <v>11</v>
      </c>
      <c r="C35" s="47" t="s">
        <v>12</v>
      </c>
      <c r="D35" s="48">
        <f>SUM(D8:D34)</f>
        <v>95836</v>
      </c>
      <c r="E35" s="48">
        <f>SUM(E8:E34)</f>
        <v>78578</v>
      </c>
      <c r="F35" s="48">
        <f>SUM(F8:F34)</f>
        <v>59016</v>
      </c>
      <c r="G35" s="48">
        <f>SUM(G8:G34)</f>
        <v>29739.519999999997</v>
      </c>
      <c r="H35" s="48"/>
      <c r="I35" s="48">
        <f t="shared" ref="I35:N35" si="1">SUM(I8:I34)</f>
        <v>785287</v>
      </c>
      <c r="J35" s="48">
        <f t="shared" si="1"/>
        <v>785360</v>
      </c>
      <c r="K35" s="48">
        <f t="shared" si="1"/>
        <v>806938</v>
      </c>
      <c r="L35" s="48">
        <f t="shared" si="1"/>
        <v>857630.98</v>
      </c>
      <c r="M35" s="48">
        <f t="shared" si="1"/>
        <v>844004.98</v>
      </c>
      <c r="N35" s="48">
        <f t="shared" si="1"/>
        <v>844004.98</v>
      </c>
      <c r="O35" s="48"/>
      <c r="P35" s="48">
        <f>SUM(P8:P34)</f>
        <v>785287</v>
      </c>
      <c r="Q35" s="48">
        <f>SUM(Q8:Q34)</f>
        <v>774667</v>
      </c>
      <c r="R35" s="48">
        <f>SUM(R8:R34)</f>
        <v>786487</v>
      </c>
      <c r="S35" s="48">
        <f>SUM(S8:S34)</f>
        <v>779987</v>
      </c>
      <c r="T35" s="48">
        <f>SUM(T8:T34)</f>
        <v>1030108</v>
      </c>
      <c r="U35" s="48"/>
      <c r="V35" s="48">
        <f>SUM(V8:V34)</f>
        <v>785287</v>
      </c>
      <c r="W35" s="48">
        <f>SUM(W8:W34)</f>
        <v>774667</v>
      </c>
      <c r="X35" s="48">
        <f>SUM(X8:X34)</f>
        <v>774667</v>
      </c>
      <c r="Y35" s="48">
        <f>SUM(Y8:Y34)</f>
        <v>948303</v>
      </c>
      <c r="Z35" s="48"/>
      <c r="AA35" s="48">
        <f>SUM(AA8:AA34)</f>
        <v>541990</v>
      </c>
      <c r="AB35" s="48">
        <f>SUM(AB8:AB34)</f>
        <v>531370</v>
      </c>
      <c r="AC35" s="260">
        <f>SUM(AC8:AC34)</f>
        <v>581576</v>
      </c>
    </row>
    <row r="36" spans="1:29" ht="67.5" customHeight="1" x14ac:dyDescent="0.2">
      <c r="A36" s="44" t="s">
        <v>52</v>
      </c>
      <c r="B36" s="8" t="s">
        <v>201</v>
      </c>
      <c r="C36" s="43">
        <v>2400</v>
      </c>
      <c r="D36" s="5">
        <v>0</v>
      </c>
      <c r="E36" s="5">
        <v>0</v>
      </c>
      <c r="F36" s="5">
        <v>0</v>
      </c>
      <c r="G36" s="5">
        <v>0</v>
      </c>
      <c r="H36" s="49"/>
      <c r="I36" s="5">
        <v>1742</v>
      </c>
      <c r="J36" s="5">
        <v>1742</v>
      </c>
      <c r="K36" s="5">
        <v>1742</v>
      </c>
      <c r="L36" s="5">
        <v>1742</v>
      </c>
      <c r="M36" s="5">
        <v>1742</v>
      </c>
      <c r="N36" s="5">
        <v>3425</v>
      </c>
      <c r="O36" s="49"/>
      <c r="P36" s="5">
        <v>1742</v>
      </c>
      <c r="Q36" s="5">
        <v>1742</v>
      </c>
      <c r="R36" s="5">
        <v>1742</v>
      </c>
      <c r="S36" s="5">
        <v>1742</v>
      </c>
      <c r="T36" s="5">
        <v>3500</v>
      </c>
      <c r="U36" s="49" t="s">
        <v>28</v>
      </c>
      <c r="V36" s="5">
        <v>1742</v>
      </c>
      <c r="W36" s="5">
        <v>1742</v>
      </c>
      <c r="X36" s="5">
        <v>1742</v>
      </c>
      <c r="Y36" s="5">
        <v>1742</v>
      </c>
      <c r="Z36" s="49"/>
      <c r="AA36" s="5">
        <v>1742</v>
      </c>
      <c r="AB36" s="5">
        <v>1742</v>
      </c>
      <c r="AC36" s="105">
        <v>1742</v>
      </c>
    </row>
    <row r="37" spans="1:29" s="51" customFormat="1" ht="66.75" customHeight="1" x14ac:dyDescent="0.2">
      <c r="A37" s="44" t="s">
        <v>52</v>
      </c>
      <c r="B37" s="8" t="s">
        <v>202</v>
      </c>
      <c r="C37" s="41">
        <v>2200</v>
      </c>
      <c r="D37" s="6">
        <v>0</v>
      </c>
      <c r="E37" s="6">
        <v>0</v>
      </c>
      <c r="F37" s="6">
        <v>0</v>
      </c>
      <c r="G37" s="6">
        <v>0</v>
      </c>
      <c r="H37" s="50"/>
      <c r="I37" s="6">
        <v>8000</v>
      </c>
      <c r="J37" s="6">
        <v>8000</v>
      </c>
      <c r="K37" s="6">
        <v>8000</v>
      </c>
      <c r="L37" s="6">
        <v>8000</v>
      </c>
      <c r="M37" s="6">
        <v>8000</v>
      </c>
      <c r="N37" s="6">
        <f>8000-1683</f>
        <v>6317</v>
      </c>
      <c r="O37" s="50"/>
      <c r="P37" s="6">
        <v>8000</v>
      </c>
      <c r="Q37" s="6">
        <v>8000</v>
      </c>
      <c r="R37" s="6">
        <v>8000</v>
      </c>
      <c r="S37" s="6">
        <v>8000</v>
      </c>
      <c r="T37" s="6">
        <v>8000</v>
      </c>
      <c r="U37" s="50"/>
      <c r="V37" s="6">
        <v>8000</v>
      </c>
      <c r="W37" s="6">
        <v>8000</v>
      </c>
      <c r="X37" s="6">
        <v>8000</v>
      </c>
      <c r="Y37" s="6">
        <v>8000</v>
      </c>
      <c r="Z37" s="50"/>
      <c r="AA37" s="6">
        <v>8000</v>
      </c>
      <c r="AB37" s="6">
        <v>8000</v>
      </c>
      <c r="AC37" s="106">
        <v>8000</v>
      </c>
    </row>
    <row r="38" spans="1:29" s="51" customFormat="1" ht="20.100000000000001" customHeight="1" x14ac:dyDescent="0.2">
      <c r="A38" s="44" t="s">
        <v>210</v>
      </c>
      <c r="B38" s="8" t="s">
        <v>211</v>
      </c>
      <c r="C38" s="41">
        <v>2200</v>
      </c>
      <c r="D38" s="6">
        <v>0</v>
      </c>
      <c r="E38" s="6">
        <v>0</v>
      </c>
      <c r="F38" s="6">
        <v>0</v>
      </c>
      <c r="G38" s="6">
        <v>0</v>
      </c>
      <c r="H38" s="50"/>
      <c r="I38" s="6">
        <v>0</v>
      </c>
      <c r="J38" s="6">
        <v>0</v>
      </c>
      <c r="K38" s="6">
        <v>0</v>
      </c>
      <c r="L38" s="6">
        <v>0</v>
      </c>
      <c r="M38" s="6">
        <v>0</v>
      </c>
      <c r="N38" s="6">
        <v>0</v>
      </c>
      <c r="O38" s="50"/>
      <c r="P38" s="6">
        <v>0</v>
      </c>
      <c r="Q38" s="6">
        <v>0</v>
      </c>
      <c r="R38" s="6">
        <v>0</v>
      </c>
      <c r="S38" s="6">
        <v>0</v>
      </c>
      <c r="T38" s="6">
        <f>ROUNDUP(4067.66*0.03,0)</f>
        <v>123</v>
      </c>
      <c r="U38" s="50"/>
      <c r="V38" s="6">
        <v>0</v>
      </c>
      <c r="W38" s="6">
        <v>0</v>
      </c>
      <c r="X38" s="6">
        <v>0</v>
      </c>
      <c r="Y38" s="6">
        <v>0</v>
      </c>
      <c r="Z38" s="50"/>
      <c r="AA38" s="6">
        <v>0</v>
      </c>
      <c r="AB38" s="6">
        <v>0</v>
      </c>
      <c r="AC38" s="106">
        <v>0</v>
      </c>
    </row>
    <row r="39" spans="1:29" s="51" customFormat="1" ht="20.100000000000001" customHeight="1" x14ac:dyDescent="0.2">
      <c r="A39" s="44" t="s">
        <v>210</v>
      </c>
      <c r="B39" s="8" t="s">
        <v>211</v>
      </c>
      <c r="C39" s="41">
        <v>2400</v>
      </c>
      <c r="D39" s="6">
        <v>0</v>
      </c>
      <c r="E39" s="6">
        <v>0</v>
      </c>
      <c r="F39" s="6">
        <v>0</v>
      </c>
      <c r="G39" s="6">
        <v>0</v>
      </c>
      <c r="H39" s="50"/>
      <c r="I39" s="6">
        <v>0</v>
      </c>
      <c r="J39" s="6">
        <v>0</v>
      </c>
      <c r="K39" s="6">
        <v>0</v>
      </c>
      <c r="L39" s="6">
        <v>0</v>
      </c>
      <c r="M39" s="6">
        <v>0</v>
      </c>
      <c r="N39" s="6">
        <v>0</v>
      </c>
      <c r="O39" s="50"/>
      <c r="P39" s="6">
        <v>0</v>
      </c>
      <c r="Q39" s="6">
        <v>0</v>
      </c>
      <c r="R39" s="6">
        <v>0</v>
      </c>
      <c r="S39" s="6">
        <v>0</v>
      </c>
      <c r="T39" s="6">
        <f>ROUNDUP(3424.87*0.03,0)</f>
        <v>103</v>
      </c>
      <c r="U39" s="50"/>
      <c r="V39" s="6">
        <v>0</v>
      </c>
      <c r="W39" s="6">
        <v>0</v>
      </c>
      <c r="X39" s="6">
        <v>0</v>
      </c>
      <c r="Y39" s="6">
        <v>0</v>
      </c>
      <c r="Z39" s="50"/>
      <c r="AA39" s="6">
        <v>0</v>
      </c>
      <c r="AB39" s="6">
        <v>0</v>
      </c>
      <c r="AC39" s="106">
        <v>0</v>
      </c>
    </row>
    <row r="40" spans="1:29" x14ac:dyDescent="0.2">
      <c r="A40" s="52"/>
      <c r="B40" s="46" t="s">
        <v>13</v>
      </c>
      <c r="C40" s="47" t="s">
        <v>14</v>
      </c>
      <c r="D40" s="53">
        <f>SUM(D36:D39)</f>
        <v>0</v>
      </c>
      <c r="E40" s="53">
        <f>SUM(E36:E39)</f>
        <v>0</v>
      </c>
      <c r="F40" s="53">
        <f>SUM(F36:F39)</f>
        <v>0</v>
      </c>
      <c r="G40" s="53">
        <f>SUM(G36:G39)</f>
        <v>0</v>
      </c>
      <c r="H40" s="53"/>
      <c r="I40" s="53">
        <f t="shared" ref="I40:N40" si="2">SUM(I36:I39)</f>
        <v>9742</v>
      </c>
      <c r="J40" s="53">
        <f t="shared" si="2"/>
        <v>9742</v>
      </c>
      <c r="K40" s="53">
        <f t="shared" si="2"/>
        <v>9742</v>
      </c>
      <c r="L40" s="53">
        <f t="shared" si="2"/>
        <v>9742</v>
      </c>
      <c r="M40" s="53">
        <f t="shared" si="2"/>
        <v>9742</v>
      </c>
      <c r="N40" s="53">
        <f t="shared" si="2"/>
        <v>9742</v>
      </c>
      <c r="O40" s="53"/>
      <c r="P40" s="53">
        <f>SUM(P36:P39)</f>
        <v>9742</v>
      </c>
      <c r="Q40" s="53">
        <f>SUM(Q36:Q39)</f>
        <v>9742</v>
      </c>
      <c r="R40" s="53">
        <f>SUM(R36:R39)</f>
        <v>9742</v>
      </c>
      <c r="S40" s="53">
        <f>SUM(S36:S39)</f>
        <v>9742</v>
      </c>
      <c r="T40" s="53">
        <f>SUM(T36:T39)</f>
        <v>11726</v>
      </c>
      <c r="U40" s="53"/>
      <c r="V40" s="53">
        <f>SUM(V36:V39)</f>
        <v>9742</v>
      </c>
      <c r="W40" s="53">
        <f>SUM(W36:W39)</f>
        <v>9742</v>
      </c>
      <c r="X40" s="53">
        <f>SUM(X36:X39)</f>
        <v>9742</v>
      </c>
      <c r="Y40" s="53">
        <f>SUM(Y36:Y39)</f>
        <v>9742</v>
      </c>
      <c r="Z40" s="53"/>
      <c r="AA40" s="53">
        <f>SUM(AA36:AA39)</f>
        <v>9742</v>
      </c>
      <c r="AB40" s="53">
        <f>SUM(AB36:AB39)</f>
        <v>9742</v>
      </c>
      <c r="AC40" s="261">
        <f>SUM(AC36:AC39)</f>
        <v>9742</v>
      </c>
    </row>
    <row r="41" spans="1:29" ht="32.25" customHeight="1" x14ac:dyDescent="0.2">
      <c r="A41" s="40" t="s">
        <v>39</v>
      </c>
      <c r="B41" s="54" t="s">
        <v>141</v>
      </c>
      <c r="C41" s="43" t="s">
        <v>16</v>
      </c>
      <c r="D41" s="6">
        <v>0</v>
      </c>
      <c r="E41" s="6">
        <v>0</v>
      </c>
      <c r="F41" s="6">
        <v>0</v>
      </c>
      <c r="G41" s="6">
        <v>0</v>
      </c>
      <c r="H41" s="3"/>
      <c r="I41" s="6">
        <v>7882</v>
      </c>
      <c r="J41" s="6">
        <f>ROUNDUP(J8*0.1899,0)</f>
        <v>13331</v>
      </c>
      <c r="K41" s="6">
        <v>12790</v>
      </c>
      <c r="L41" s="6">
        <v>12420.45</v>
      </c>
      <c r="M41" s="6">
        <v>12420.45</v>
      </c>
      <c r="N41" s="6">
        <v>12420.45</v>
      </c>
      <c r="O41" s="3"/>
      <c r="P41" s="6">
        <v>7882</v>
      </c>
      <c r="Q41" s="6">
        <v>8888</v>
      </c>
      <c r="R41" s="6">
        <v>8888</v>
      </c>
      <c r="S41" s="6">
        <v>8888</v>
      </c>
      <c r="T41" s="6">
        <f>ROUNDUP((T8+T9+T10)*0.2079,0)</f>
        <v>15924</v>
      </c>
      <c r="U41" s="3"/>
      <c r="V41" s="6">
        <v>7882</v>
      </c>
      <c r="W41" s="6">
        <v>8888</v>
      </c>
      <c r="X41" s="6">
        <v>8888</v>
      </c>
      <c r="Y41" s="6">
        <f>ROUNDUP((Y8+Y9+Y10)*0.2079,0)</f>
        <v>15924</v>
      </c>
      <c r="Z41" s="3"/>
      <c r="AA41" s="6">
        <v>7882</v>
      </c>
      <c r="AB41" s="6">
        <v>8888</v>
      </c>
      <c r="AC41" s="262">
        <f>ROUNDUP((AC8+AC9+AC10)*0.2079,0)</f>
        <v>15924</v>
      </c>
    </row>
    <row r="42" spans="1:29" ht="32.25" customHeight="1" x14ac:dyDescent="0.2">
      <c r="A42" s="40" t="s">
        <v>40</v>
      </c>
      <c r="B42" s="54" t="s">
        <v>169</v>
      </c>
      <c r="C42" s="43" t="s">
        <v>16</v>
      </c>
      <c r="D42" s="6">
        <v>0</v>
      </c>
      <c r="E42" s="6">
        <v>0</v>
      </c>
      <c r="F42" s="6">
        <v>0</v>
      </c>
      <c r="G42" s="6">
        <v>0</v>
      </c>
      <c r="H42" s="3"/>
      <c r="I42" s="6">
        <v>0</v>
      </c>
      <c r="J42" s="6">
        <v>0</v>
      </c>
      <c r="K42" s="6">
        <v>6646</v>
      </c>
      <c r="L42" s="6">
        <v>4430</v>
      </c>
      <c r="M42" s="6">
        <v>1994</v>
      </c>
      <c r="N42" s="6">
        <v>1994</v>
      </c>
      <c r="O42" s="3"/>
      <c r="P42" s="6">
        <v>0</v>
      </c>
      <c r="Q42" s="6">
        <v>0</v>
      </c>
      <c r="R42" s="6">
        <v>2215</v>
      </c>
      <c r="S42" s="6">
        <v>2215</v>
      </c>
      <c r="T42" s="6">
        <f>ROUNDUP((T11+T12+T13)*0.2079,0)</f>
        <v>1964</v>
      </c>
      <c r="U42" s="3"/>
      <c r="V42" s="6">
        <v>0</v>
      </c>
      <c r="W42" s="6">
        <v>0</v>
      </c>
      <c r="X42" s="6">
        <v>0</v>
      </c>
      <c r="Y42" s="6">
        <v>0</v>
      </c>
      <c r="Z42" s="3"/>
      <c r="AA42" s="6">
        <v>0</v>
      </c>
      <c r="AB42" s="6">
        <v>0</v>
      </c>
      <c r="AC42" s="106">
        <v>0</v>
      </c>
    </row>
    <row r="43" spans="1:29" ht="33" customHeight="1" x14ac:dyDescent="0.2">
      <c r="A43" s="40" t="s">
        <v>38</v>
      </c>
      <c r="B43" s="54" t="s">
        <v>29</v>
      </c>
      <c r="C43" s="43" t="s">
        <v>16</v>
      </c>
      <c r="D43" s="6">
        <v>1117</v>
      </c>
      <c r="E43" s="6">
        <v>1117</v>
      </c>
      <c r="F43" s="6">
        <v>1117</v>
      </c>
      <c r="G43" s="6">
        <v>402.96</v>
      </c>
      <c r="H43" s="3"/>
      <c r="I43" s="6">
        <v>1117</v>
      </c>
      <c r="J43" s="6">
        <f>ROUNDUP(J14*0.1899,0)</f>
        <v>1260</v>
      </c>
      <c r="K43" s="6">
        <v>0</v>
      </c>
      <c r="L43" s="6">
        <v>0</v>
      </c>
      <c r="M43" s="6">
        <v>0</v>
      </c>
      <c r="N43" s="6">
        <v>0</v>
      </c>
      <c r="O43" s="3"/>
      <c r="P43" s="6">
        <v>1117</v>
      </c>
      <c r="Q43" s="6">
        <v>1260</v>
      </c>
      <c r="R43" s="6">
        <v>1260</v>
      </c>
      <c r="S43" s="6">
        <v>1260</v>
      </c>
      <c r="T43" s="6">
        <f>ROUNDUP(T14*0.2079,0)</f>
        <v>0</v>
      </c>
      <c r="U43" s="3"/>
      <c r="V43" s="6">
        <v>1117</v>
      </c>
      <c r="W43" s="6">
        <v>1260</v>
      </c>
      <c r="X43" s="6">
        <v>1260</v>
      </c>
      <c r="Y43" s="6">
        <f>ROUNDUP(Y14*0.2079,0)</f>
        <v>0</v>
      </c>
      <c r="Z43" s="3"/>
      <c r="AA43" s="6">
        <v>1117</v>
      </c>
      <c r="AB43" s="6">
        <v>1260</v>
      </c>
      <c r="AC43" s="262">
        <f>ROUNDUP(AC14*0.2079,0)</f>
        <v>0</v>
      </c>
    </row>
    <row r="44" spans="1:29" ht="36.75" customHeight="1" x14ac:dyDescent="0.2">
      <c r="A44" s="40" t="s">
        <v>38</v>
      </c>
      <c r="B44" s="54" t="s">
        <v>30</v>
      </c>
      <c r="C44" s="43" t="s">
        <v>16</v>
      </c>
      <c r="D44" s="6">
        <v>1303</v>
      </c>
      <c r="E44" s="6">
        <v>1303</v>
      </c>
      <c r="F44" s="6">
        <v>1303</v>
      </c>
      <c r="G44" s="6">
        <v>0</v>
      </c>
      <c r="H44" s="3"/>
      <c r="I44" s="6">
        <v>1303</v>
      </c>
      <c r="J44" s="6">
        <f>ROUNDUP(J15*0.1899,0)</f>
        <v>1469</v>
      </c>
      <c r="K44" s="6">
        <v>1450</v>
      </c>
      <c r="L44" s="6">
        <v>1450</v>
      </c>
      <c r="M44" s="6">
        <v>1263</v>
      </c>
      <c r="N44" s="6">
        <v>1263</v>
      </c>
      <c r="O44" s="3"/>
      <c r="P44" s="55">
        <v>1303</v>
      </c>
      <c r="Q44" s="6">
        <v>1469</v>
      </c>
      <c r="R44" s="6">
        <v>1469</v>
      </c>
      <c r="S44" s="6">
        <v>1469</v>
      </c>
      <c r="T44" s="6">
        <f>ROUNDUP(T15*0.2079,0)</f>
        <v>1708</v>
      </c>
      <c r="U44" s="3"/>
      <c r="V44" s="55">
        <v>1303</v>
      </c>
      <c r="W44" s="6">
        <v>1469</v>
      </c>
      <c r="X44" s="6">
        <v>1469</v>
      </c>
      <c r="Y44" s="6">
        <f>ROUNDUP(Y15*0.2079,0)</f>
        <v>1708</v>
      </c>
      <c r="Z44" s="3"/>
      <c r="AA44" s="55">
        <v>1303</v>
      </c>
      <c r="AB44" s="6">
        <f>ROUNDUP(AB15*0.1899,0)</f>
        <v>1469</v>
      </c>
      <c r="AC44" s="262">
        <f>ROUNDUP(AC15*0.2079,0)</f>
        <v>1708</v>
      </c>
    </row>
    <row r="45" spans="1:29" ht="36" customHeight="1" x14ac:dyDescent="0.2">
      <c r="A45" s="44" t="s">
        <v>40</v>
      </c>
      <c r="B45" s="54" t="s">
        <v>41</v>
      </c>
      <c r="C45" s="43" t="s">
        <v>16</v>
      </c>
      <c r="D45" s="6">
        <v>0</v>
      </c>
      <c r="E45" s="6">
        <v>0</v>
      </c>
      <c r="F45" s="6">
        <v>0</v>
      </c>
      <c r="G45" s="6">
        <v>0</v>
      </c>
      <c r="H45" s="3"/>
      <c r="I45" s="6">
        <v>40482</v>
      </c>
      <c r="J45" s="6">
        <f>ROUNDUP(J16*0.1899,0)</f>
        <v>43634</v>
      </c>
      <c r="K45" s="6">
        <v>43059</v>
      </c>
      <c r="L45" s="6">
        <v>43059</v>
      </c>
      <c r="M45" s="6">
        <v>43211</v>
      </c>
      <c r="N45" s="6">
        <v>43211</v>
      </c>
      <c r="O45" s="3"/>
      <c r="P45" s="55">
        <v>40482</v>
      </c>
      <c r="Q45" s="6">
        <v>43634</v>
      </c>
      <c r="R45" s="6">
        <v>43634</v>
      </c>
      <c r="S45" s="6">
        <v>43634</v>
      </c>
      <c r="T45" s="6">
        <f>ROUNDUP((T16+T17+T18)*0.2079,0)</f>
        <v>51924</v>
      </c>
      <c r="U45" s="3"/>
      <c r="V45" s="55">
        <v>40482</v>
      </c>
      <c r="W45" s="6">
        <v>43634</v>
      </c>
      <c r="X45" s="6">
        <v>43634</v>
      </c>
      <c r="Y45" s="6">
        <f>ROUNDUP((Y16+Y17+Y18)*0.2079,0)</f>
        <v>51924</v>
      </c>
      <c r="Z45" s="3"/>
      <c r="AA45" s="55">
        <v>40482</v>
      </c>
      <c r="AB45" s="6">
        <v>43634</v>
      </c>
      <c r="AC45" s="262">
        <f>ROUNDUP((AC16+AC17+AC18)*0.2079,0)</f>
        <v>51924</v>
      </c>
    </row>
    <row r="46" spans="1:29" ht="39" customHeight="1" x14ac:dyDescent="0.2">
      <c r="A46" s="44" t="s">
        <v>39</v>
      </c>
      <c r="B46" s="54" t="s">
        <v>42</v>
      </c>
      <c r="C46" s="43" t="s">
        <v>16</v>
      </c>
      <c r="D46" s="6">
        <v>4379</v>
      </c>
      <c r="E46" s="6">
        <v>4379</v>
      </c>
      <c r="F46" s="6">
        <v>4379</v>
      </c>
      <c r="G46" s="6">
        <v>1994.35</v>
      </c>
      <c r="H46" s="3"/>
      <c r="I46" s="6">
        <v>4379</v>
      </c>
      <c r="J46" s="6">
        <f>ROUNDUP(J19*0.1899,0)</f>
        <v>4938</v>
      </c>
      <c r="K46" s="6">
        <v>4873</v>
      </c>
      <c r="L46" s="6">
        <v>8913</v>
      </c>
      <c r="M46" s="6">
        <v>9359</v>
      </c>
      <c r="N46" s="6">
        <v>9359</v>
      </c>
      <c r="O46" s="3"/>
      <c r="P46" s="55">
        <v>4379</v>
      </c>
      <c r="Q46" s="6">
        <v>4938</v>
      </c>
      <c r="R46" s="6">
        <v>4938</v>
      </c>
      <c r="S46" s="6">
        <v>4938</v>
      </c>
      <c r="T46" s="6">
        <f>ROUNDUP((T19+T20+T21)*0.2079,0)</f>
        <v>13820</v>
      </c>
      <c r="U46" s="3"/>
      <c r="V46" s="55">
        <v>4379</v>
      </c>
      <c r="W46" s="6">
        <v>4938</v>
      </c>
      <c r="X46" s="6">
        <v>4938</v>
      </c>
      <c r="Y46" s="6">
        <f>ROUNDUP((Y19+Y20+Y21)*0.2079,0)</f>
        <v>5770</v>
      </c>
      <c r="Z46" s="3"/>
      <c r="AA46" s="55">
        <v>4379</v>
      </c>
      <c r="AB46" s="6">
        <v>4938</v>
      </c>
      <c r="AC46" s="262">
        <f>ROUNDUP((AC19+AC20+AC21)*0.2079,0)</f>
        <v>5770</v>
      </c>
    </row>
    <row r="47" spans="1:29" ht="33.75" customHeight="1" x14ac:dyDescent="0.2">
      <c r="A47" s="44" t="s">
        <v>40</v>
      </c>
      <c r="B47" s="54" t="s">
        <v>43</v>
      </c>
      <c r="C47" s="43" t="s">
        <v>16</v>
      </c>
      <c r="D47" s="6">
        <v>0</v>
      </c>
      <c r="E47" s="6">
        <v>0</v>
      </c>
      <c r="F47" s="6">
        <v>0</v>
      </c>
      <c r="G47" s="6">
        <v>0</v>
      </c>
      <c r="H47" s="3"/>
      <c r="I47" s="6">
        <v>3680</v>
      </c>
      <c r="J47" s="6">
        <f>ROUNDUP(J22*0.1899,0)</f>
        <v>4149</v>
      </c>
      <c r="K47" s="6">
        <v>6142</v>
      </c>
      <c r="L47" s="6">
        <f>6142+1973</f>
        <v>8115</v>
      </c>
      <c r="M47" s="6">
        <f>6142+1973</f>
        <v>8115</v>
      </c>
      <c r="N47" s="6">
        <f>6142+1973</f>
        <v>8115</v>
      </c>
      <c r="O47" s="3"/>
      <c r="P47" s="6">
        <v>3680</v>
      </c>
      <c r="Q47" s="6">
        <v>4149</v>
      </c>
      <c r="R47" s="6">
        <v>4149</v>
      </c>
      <c r="S47" s="6">
        <v>4149</v>
      </c>
      <c r="T47" s="6">
        <f>ROUNDUP((T22+T23)*0.2079,0)</f>
        <v>7580</v>
      </c>
      <c r="U47" s="3"/>
      <c r="V47" s="6">
        <v>3680</v>
      </c>
      <c r="W47" s="6">
        <v>4149</v>
      </c>
      <c r="X47" s="6">
        <v>4149</v>
      </c>
      <c r="Y47" s="6">
        <f>ROUNDUP((Y22+Y23)*0.2079,0)</f>
        <v>5320</v>
      </c>
      <c r="Z47" s="3"/>
      <c r="AA47" s="6">
        <v>3680</v>
      </c>
      <c r="AB47" s="6">
        <v>4149</v>
      </c>
      <c r="AC47" s="262">
        <f>ROUNDUP((AC22+AC23)*0.2079,0)</f>
        <v>5320</v>
      </c>
    </row>
    <row r="48" spans="1:29" ht="33.75" customHeight="1" x14ac:dyDescent="0.2">
      <c r="A48" s="44" t="s">
        <v>44</v>
      </c>
      <c r="B48" s="54" t="s">
        <v>200</v>
      </c>
      <c r="C48" s="43" t="s">
        <v>16</v>
      </c>
      <c r="D48" s="6"/>
      <c r="E48" s="6"/>
      <c r="F48" s="6">
        <v>0</v>
      </c>
      <c r="G48" s="6">
        <v>0</v>
      </c>
      <c r="H48" s="3"/>
      <c r="I48" s="6"/>
      <c r="J48" s="6"/>
      <c r="K48" s="6"/>
      <c r="L48" s="6">
        <v>0</v>
      </c>
      <c r="M48" s="6">
        <v>1450</v>
      </c>
      <c r="N48" s="6">
        <v>1450</v>
      </c>
      <c r="O48" s="3"/>
      <c r="P48" s="6"/>
      <c r="Q48" s="6"/>
      <c r="R48" s="6">
        <v>0</v>
      </c>
      <c r="S48" s="6">
        <v>0</v>
      </c>
      <c r="T48" s="6">
        <v>0</v>
      </c>
      <c r="U48" s="3"/>
      <c r="V48" s="6"/>
      <c r="W48" s="6">
        <v>0</v>
      </c>
      <c r="X48" s="6">
        <v>0</v>
      </c>
      <c r="Y48" s="6">
        <v>0</v>
      </c>
      <c r="Z48" s="3"/>
      <c r="AA48" s="6"/>
      <c r="AB48" s="6">
        <v>0</v>
      </c>
      <c r="AC48" s="106">
        <v>0</v>
      </c>
    </row>
    <row r="49" spans="1:29" ht="33.75" customHeight="1" x14ac:dyDescent="0.2">
      <c r="A49" s="44" t="s">
        <v>137</v>
      </c>
      <c r="B49" s="54" t="s">
        <v>181</v>
      </c>
      <c r="C49" s="43" t="s">
        <v>16</v>
      </c>
      <c r="D49" s="6"/>
      <c r="E49" s="6"/>
      <c r="F49" s="6">
        <v>0</v>
      </c>
      <c r="G49" s="6">
        <v>0</v>
      </c>
      <c r="H49" s="3"/>
      <c r="I49" s="6"/>
      <c r="J49" s="6">
        <v>0</v>
      </c>
      <c r="K49" s="6">
        <v>0</v>
      </c>
      <c r="L49" s="6">
        <v>6099</v>
      </c>
      <c r="M49" s="6">
        <f>1719+2797</f>
        <v>4516</v>
      </c>
      <c r="N49" s="6">
        <f>1719+2797</f>
        <v>4516</v>
      </c>
      <c r="O49" s="3"/>
      <c r="P49" s="6">
        <v>0</v>
      </c>
      <c r="Q49" s="6">
        <v>0</v>
      </c>
      <c r="R49" s="6">
        <v>0</v>
      </c>
      <c r="S49" s="6">
        <v>0</v>
      </c>
      <c r="T49" s="6">
        <f>10675+7600</f>
        <v>18275</v>
      </c>
      <c r="U49" s="3"/>
      <c r="V49" s="6">
        <v>0</v>
      </c>
      <c r="W49" s="6">
        <v>0</v>
      </c>
      <c r="X49" s="6">
        <v>0</v>
      </c>
      <c r="Y49" s="6">
        <f>10675+7600</f>
        <v>18275</v>
      </c>
      <c r="Z49" s="3"/>
      <c r="AA49" s="6">
        <v>0</v>
      </c>
      <c r="AB49" s="6">
        <v>0</v>
      </c>
      <c r="AC49" s="106">
        <v>0</v>
      </c>
    </row>
    <row r="50" spans="1:29" ht="31.5" customHeight="1" x14ac:dyDescent="0.2">
      <c r="A50" s="44" t="s">
        <v>44</v>
      </c>
      <c r="B50" s="54" t="s">
        <v>31</v>
      </c>
      <c r="C50" s="43" t="s">
        <v>16</v>
      </c>
      <c r="D50" s="6">
        <v>0</v>
      </c>
      <c r="E50" s="6">
        <v>0</v>
      </c>
      <c r="F50" s="6">
        <v>0</v>
      </c>
      <c r="G50" s="6">
        <v>0</v>
      </c>
      <c r="H50" s="3"/>
      <c r="I50" s="6">
        <v>32829</v>
      </c>
      <c r="J50" s="6">
        <v>36427</v>
      </c>
      <c r="K50" s="6">
        <f>15756+20764</f>
        <v>36520</v>
      </c>
      <c r="L50" s="6">
        <f>15756+20764</f>
        <v>36520</v>
      </c>
      <c r="M50" s="6">
        <f>15756+20764</f>
        <v>36520</v>
      </c>
      <c r="N50" s="6">
        <f>15756+20764</f>
        <v>36520</v>
      </c>
      <c r="O50" s="3"/>
      <c r="P50" s="6">
        <v>32829</v>
      </c>
      <c r="Q50" s="6">
        <v>36427</v>
      </c>
      <c r="R50" s="6">
        <v>36427</v>
      </c>
      <c r="S50" s="6">
        <v>36427</v>
      </c>
      <c r="T50" s="6">
        <f>35477+18472</f>
        <v>53949</v>
      </c>
      <c r="U50" s="3"/>
      <c r="V50" s="6">
        <v>32829</v>
      </c>
      <c r="W50" s="6">
        <v>36427</v>
      </c>
      <c r="X50" s="6">
        <v>36427</v>
      </c>
      <c r="Y50" s="6">
        <f>35477+18472</f>
        <v>53949</v>
      </c>
      <c r="Z50" s="3"/>
      <c r="AA50" s="6">
        <v>0</v>
      </c>
      <c r="AB50" s="6">
        <v>0</v>
      </c>
      <c r="AC50" s="106">
        <v>0</v>
      </c>
    </row>
    <row r="51" spans="1:29" ht="29.25" customHeight="1" x14ac:dyDescent="0.2">
      <c r="A51" s="44" t="s">
        <v>44</v>
      </c>
      <c r="B51" s="54" t="s">
        <v>32</v>
      </c>
      <c r="C51" s="43" t="s">
        <v>16</v>
      </c>
      <c r="D51" s="6">
        <v>0</v>
      </c>
      <c r="E51" s="6">
        <v>0</v>
      </c>
      <c r="F51" s="6">
        <v>0</v>
      </c>
      <c r="G51" s="6">
        <v>0</v>
      </c>
      <c r="H51" s="3"/>
      <c r="I51" s="6">
        <v>32872</v>
      </c>
      <c r="J51" s="6">
        <v>36475</v>
      </c>
      <c r="K51" s="6">
        <f>15804+20764</f>
        <v>36568</v>
      </c>
      <c r="L51" s="6">
        <f>15804+20764</f>
        <v>36568</v>
      </c>
      <c r="M51" s="6">
        <f>15804+20764</f>
        <v>36568</v>
      </c>
      <c r="N51" s="6">
        <f>15804+20764</f>
        <v>36568</v>
      </c>
      <c r="O51" s="3"/>
      <c r="P51" s="6">
        <v>32872</v>
      </c>
      <c r="Q51" s="6">
        <v>36475</v>
      </c>
      <c r="R51" s="6">
        <v>36475</v>
      </c>
      <c r="S51" s="6">
        <v>36475</v>
      </c>
      <c r="T51" s="6">
        <f>18602+19000</f>
        <v>37602</v>
      </c>
      <c r="U51" s="3"/>
      <c r="V51" s="6">
        <v>32872</v>
      </c>
      <c r="W51" s="6">
        <v>36475</v>
      </c>
      <c r="X51" s="6">
        <v>36475</v>
      </c>
      <c r="Y51" s="6">
        <f>18602+19000</f>
        <v>37602</v>
      </c>
      <c r="Z51" s="3"/>
      <c r="AA51" s="6">
        <v>32872</v>
      </c>
      <c r="AB51" s="6">
        <v>36475</v>
      </c>
      <c r="AC51" s="262">
        <f>18602+19000</f>
        <v>37602</v>
      </c>
    </row>
    <row r="52" spans="1:29" ht="36" customHeight="1" x14ac:dyDescent="0.2">
      <c r="A52" s="44" t="s">
        <v>44</v>
      </c>
      <c r="B52" s="54" t="s">
        <v>33</v>
      </c>
      <c r="C52" s="43" t="s">
        <v>16</v>
      </c>
      <c r="D52" s="6"/>
      <c r="E52" s="6"/>
      <c r="F52" s="6"/>
      <c r="G52" s="6"/>
      <c r="H52" s="3"/>
      <c r="I52" s="6">
        <v>66372</v>
      </c>
      <c r="J52" s="6">
        <v>72686</v>
      </c>
      <c r="K52" s="6">
        <f>27276+20764+20764</f>
        <v>68804</v>
      </c>
      <c r="L52" s="6">
        <f>27276+20764+20764+2010+1336</f>
        <v>72150</v>
      </c>
      <c r="M52" s="6">
        <f>27276+20764+20764+2010+1336</f>
        <v>72150</v>
      </c>
      <c r="N52" s="6">
        <f>27276+20764+20764+2010+1336</f>
        <v>72150</v>
      </c>
      <c r="O52" s="3"/>
      <c r="P52" s="6">
        <v>66372</v>
      </c>
      <c r="Q52" s="6">
        <v>72686</v>
      </c>
      <c r="R52" s="6">
        <v>72686</v>
      </c>
      <c r="S52" s="6">
        <v>72686</v>
      </c>
      <c r="T52" s="6">
        <f>18263+18263+19000+19000</f>
        <v>74526</v>
      </c>
      <c r="U52" s="3"/>
      <c r="V52" s="6">
        <v>66372</v>
      </c>
      <c r="W52" s="6">
        <v>72686</v>
      </c>
      <c r="X52" s="6">
        <v>72686</v>
      </c>
      <c r="Y52" s="6">
        <f>18263+18263+19000+19000</f>
        <v>74526</v>
      </c>
      <c r="Z52" s="3"/>
      <c r="AA52" s="6">
        <v>0</v>
      </c>
      <c r="AB52" s="6">
        <v>0</v>
      </c>
      <c r="AC52" s="106">
        <v>0</v>
      </c>
    </row>
    <row r="53" spans="1:29" ht="36" customHeight="1" x14ac:dyDescent="0.2">
      <c r="A53" s="44" t="s">
        <v>44</v>
      </c>
      <c r="B53" s="54" t="s">
        <v>177</v>
      </c>
      <c r="C53" s="43" t="s">
        <v>16</v>
      </c>
      <c r="D53" s="6"/>
      <c r="E53" s="6"/>
      <c r="F53" s="6">
        <v>0</v>
      </c>
      <c r="G53" s="6">
        <v>0</v>
      </c>
      <c r="H53" s="3"/>
      <c r="I53" s="6"/>
      <c r="J53" s="6"/>
      <c r="K53" s="6">
        <v>0</v>
      </c>
      <c r="L53" s="6">
        <v>809</v>
      </c>
      <c r="M53" s="6">
        <v>809</v>
      </c>
      <c r="N53" s="6">
        <v>809</v>
      </c>
      <c r="O53" s="3"/>
      <c r="P53" s="6"/>
      <c r="Q53" s="6">
        <v>0</v>
      </c>
      <c r="R53" s="6">
        <v>0</v>
      </c>
      <c r="S53" s="6">
        <v>0</v>
      </c>
      <c r="T53" s="6">
        <v>1459</v>
      </c>
      <c r="U53" s="3"/>
      <c r="V53" s="6"/>
      <c r="W53" s="6">
        <v>0</v>
      </c>
      <c r="X53" s="6">
        <v>0</v>
      </c>
      <c r="Y53" s="6">
        <f>1459+5100</f>
        <v>6559</v>
      </c>
      <c r="Z53" s="3"/>
      <c r="AA53" s="6"/>
      <c r="AB53" s="6">
        <v>0</v>
      </c>
      <c r="AC53" s="106">
        <v>0</v>
      </c>
    </row>
    <row r="54" spans="1:29" ht="37.5" customHeight="1" x14ac:dyDescent="0.2">
      <c r="A54" s="44" t="s">
        <v>51</v>
      </c>
      <c r="B54" s="54" t="s">
        <v>45</v>
      </c>
      <c r="C54" s="43" t="s">
        <v>16</v>
      </c>
      <c r="D54" s="6">
        <v>18902</v>
      </c>
      <c r="E54" s="6">
        <v>13023</v>
      </c>
      <c r="F54" s="6">
        <f>3143+3835</f>
        <v>6978</v>
      </c>
      <c r="G54" s="6">
        <v>6685.42</v>
      </c>
      <c r="H54" s="3"/>
      <c r="I54" s="6">
        <v>37804</v>
      </c>
      <c r="J54" s="6">
        <v>39627</v>
      </c>
      <c r="K54" s="6">
        <f>17429+20764</f>
        <v>38193</v>
      </c>
      <c r="L54" s="6">
        <f>17429+20764</f>
        <v>38193</v>
      </c>
      <c r="M54" s="6">
        <f>17429+20764</f>
        <v>38193</v>
      </c>
      <c r="N54" s="6">
        <f>17429+20764</f>
        <v>38193</v>
      </c>
      <c r="O54" s="3"/>
      <c r="P54" s="6">
        <v>37804</v>
      </c>
      <c r="Q54" s="6">
        <v>42038</v>
      </c>
      <c r="R54" s="6">
        <v>42038</v>
      </c>
      <c r="S54" s="6">
        <v>42038</v>
      </c>
      <c r="T54" s="6">
        <f>21667+19000</f>
        <v>40667</v>
      </c>
      <c r="U54" s="3"/>
      <c r="V54" s="6">
        <v>37804</v>
      </c>
      <c r="W54" s="6">
        <v>42038</v>
      </c>
      <c r="X54" s="6">
        <v>42038</v>
      </c>
      <c r="Y54" s="6">
        <f>21667+19000</f>
        <v>40667</v>
      </c>
      <c r="Z54" s="3"/>
      <c r="AA54" s="6">
        <v>37804</v>
      </c>
      <c r="AB54" s="6">
        <v>42038</v>
      </c>
      <c r="AC54" s="262">
        <f>21667+19000</f>
        <v>40667</v>
      </c>
    </row>
    <row r="55" spans="1:29" ht="65.25" customHeight="1" x14ac:dyDescent="0.2">
      <c r="A55" s="44" t="s">
        <v>52</v>
      </c>
      <c r="B55" s="54" t="s">
        <v>46</v>
      </c>
      <c r="C55" s="43" t="s">
        <v>16</v>
      </c>
      <c r="D55" s="6">
        <v>0</v>
      </c>
      <c r="E55" s="6">
        <v>0</v>
      </c>
      <c r="F55" s="6">
        <v>0</v>
      </c>
      <c r="G55" s="6">
        <v>0</v>
      </c>
      <c r="H55" s="3"/>
      <c r="I55" s="6">
        <v>425</v>
      </c>
      <c r="J55" s="6">
        <f>ROUNDUP(J36*0.2656,0)</f>
        <v>463</v>
      </c>
      <c r="K55" s="6">
        <v>454</v>
      </c>
      <c r="L55" s="6">
        <v>454</v>
      </c>
      <c r="M55" s="6">
        <v>454</v>
      </c>
      <c r="N55" s="6">
        <v>892</v>
      </c>
      <c r="O55" s="3"/>
      <c r="P55" s="6">
        <v>425</v>
      </c>
      <c r="Q55" s="6">
        <v>463</v>
      </c>
      <c r="R55" s="6">
        <v>463</v>
      </c>
      <c r="S55" s="6">
        <v>463</v>
      </c>
      <c r="T55" s="6">
        <f>ROUNDUP(T36*0.2841,0)</f>
        <v>995</v>
      </c>
      <c r="U55" s="3"/>
      <c r="V55" s="6">
        <v>425</v>
      </c>
      <c r="W55" s="6">
        <f>ROUNDUP(W36*0.2656,0)</f>
        <v>463</v>
      </c>
      <c r="X55" s="6">
        <f>ROUNDUP(X36*0.2656,0)</f>
        <v>463</v>
      </c>
      <c r="Y55" s="6">
        <f>ROUNDUP(Y36*0.2841,0)</f>
        <v>495</v>
      </c>
      <c r="Z55" s="3"/>
      <c r="AA55" s="6">
        <v>425</v>
      </c>
      <c r="AB55" s="6">
        <f>ROUNDUP(AB36*0.2656,0)</f>
        <v>463</v>
      </c>
      <c r="AC55" s="262">
        <f>ROUNDUP(AC36*0.2841,0)</f>
        <v>495</v>
      </c>
    </row>
    <row r="56" spans="1:29" ht="69.75" customHeight="1" x14ac:dyDescent="0.2">
      <c r="A56" s="44" t="s">
        <v>52</v>
      </c>
      <c r="B56" s="54" t="s">
        <v>34</v>
      </c>
      <c r="C56" s="43" t="s">
        <v>16</v>
      </c>
      <c r="D56" s="6">
        <v>0</v>
      </c>
      <c r="E56" s="6">
        <v>0</v>
      </c>
      <c r="F56" s="6">
        <v>0</v>
      </c>
      <c r="G56" s="6">
        <v>0</v>
      </c>
      <c r="H56" s="3"/>
      <c r="I56" s="6">
        <v>1948</v>
      </c>
      <c r="J56" s="6">
        <f>ROUNDUP(J37*0.1899,0)</f>
        <v>1520</v>
      </c>
      <c r="K56" s="6">
        <v>2084</v>
      </c>
      <c r="L56" s="6">
        <v>2084</v>
      </c>
      <c r="M56" s="6">
        <v>2084</v>
      </c>
      <c r="N56" s="6">
        <f>2084-438</f>
        <v>1646</v>
      </c>
      <c r="O56" s="3"/>
      <c r="P56" s="55">
        <v>1948</v>
      </c>
      <c r="Q56" s="6">
        <v>1520</v>
      </c>
      <c r="R56" s="6">
        <v>1520</v>
      </c>
      <c r="S56" s="6">
        <v>1520</v>
      </c>
      <c r="T56" s="6">
        <f>ROUNDUP(T37*0.2841,0)</f>
        <v>2273</v>
      </c>
      <c r="U56" s="3"/>
      <c r="V56" s="55">
        <v>1948</v>
      </c>
      <c r="W56" s="6">
        <f>ROUNDUP(W37*0.1899,0)</f>
        <v>1520</v>
      </c>
      <c r="X56" s="6">
        <f>ROUNDUP(X37*0.1899,0)</f>
        <v>1520</v>
      </c>
      <c r="Y56" s="6">
        <f>ROUNDUP(Y37*0.2841,0)</f>
        <v>2273</v>
      </c>
      <c r="Z56" s="3"/>
      <c r="AA56" s="55">
        <v>1948</v>
      </c>
      <c r="AB56" s="6">
        <f>ROUNDUP(AB37*0.1899,0)</f>
        <v>1520</v>
      </c>
      <c r="AC56" s="262">
        <f>ROUNDUP(AC37*0.2841,0)</f>
        <v>2273</v>
      </c>
    </row>
    <row r="57" spans="1:29" ht="36.75" customHeight="1" x14ac:dyDescent="0.2">
      <c r="A57" s="44" t="s">
        <v>210</v>
      </c>
      <c r="B57" s="8" t="s">
        <v>213</v>
      </c>
      <c r="C57" s="43" t="s">
        <v>16</v>
      </c>
      <c r="D57" s="6">
        <v>0</v>
      </c>
      <c r="E57" s="6">
        <v>0</v>
      </c>
      <c r="F57" s="6">
        <v>0</v>
      </c>
      <c r="G57" s="6">
        <v>0</v>
      </c>
      <c r="H57" s="3"/>
      <c r="I57" s="6">
        <v>0</v>
      </c>
      <c r="J57" s="6">
        <v>0</v>
      </c>
      <c r="K57" s="6">
        <v>0</v>
      </c>
      <c r="L57" s="6">
        <v>0</v>
      </c>
      <c r="M57" s="6">
        <v>0</v>
      </c>
      <c r="N57" s="6">
        <v>0</v>
      </c>
      <c r="O57" s="3"/>
      <c r="P57" s="55">
        <v>0</v>
      </c>
      <c r="Q57" s="6">
        <v>0</v>
      </c>
      <c r="R57" s="6">
        <v>0</v>
      </c>
      <c r="S57" s="6">
        <v>0</v>
      </c>
      <c r="T57" s="6">
        <f>ROUNDUP((T31+T32+T33+T34+T38+T39)*0.2079,0)</f>
        <v>4781</v>
      </c>
      <c r="U57" s="3"/>
      <c r="V57" s="55"/>
      <c r="W57" s="6"/>
      <c r="X57" s="6">
        <v>0</v>
      </c>
      <c r="Y57" s="6">
        <v>0</v>
      </c>
      <c r="Z57" s="3"/>
      <c r="AA57" s="55">
        <v>0</v>
      </c>
      <c r="AB57" s="6">
        <v>0</v>
      </c>
      <c r="AC57" s="106">
        <v>0</v>
      </c>
    </row>
    <row r="58" spans="1:29" x14ac:dyDescent="0.2">
      <c r="A58" s="52"/>
      <c r="B58" s="46" t="s">
        <v>15</v>
      </c>
      <c r="C58" s="47" t="s">
        <v>16</v>
      </c>
      <c r="D58" s="53">
        <f>SUM(D41:D57)</f>
        <v>25701</v>
      </c>
      <c r="E58" s="53">
        <f>SUM(E41:E57)</f>
        <v>19822</v>
      </c>
      <c r="F58" s="53">
        <f>SUM(F41:F57)</f>
        <v>13777</v>
      </c>
      <c r="G58" s="53">
        <f>SUM(G41:G57)</f>
        <v>9082.73</v>
      </c>
      <c r="H58" s="53"/>
      <c r="I58" s="53">
        <f t="shared" ref="I58:N58" si="3">SUM(I41:I57)</f>
        <v>231093</v>
      </c>
      <c r="J58" s="53">
        <f t="shared" si="3"/>
        <v>255979</v>
      </c>
      <c r="K58" s="53">
        <f t="shared" si="3"/>
        <v>257583</v>
      </c>
      <c r="L58" s="53">
        <f t="shared" si="3"/>
        <v>271264.45</v>
      </c>
      <c r="M58" s="53">
        <f t="shared" si="3"/>
        <v>269106.45</v>
      </c>
      <c r="N58" s="53">
        <f t="shared" si="3"/>
        <v>269106.45</v>
      </c>
      <c r="O58" s="53"/>
      <c r="P58" s="53">
        <f>SUM(P41:P57)</f>
        <v>231093</v>
      </c>
      <c r="Q58" s="53">
        <f>SUM(Q41:Q57)</f>
        <v>253947</v>
      </c>
      <c r="R58" s="53">
        <f>SUM(R41:R57)</f>
        <v>256162</v>
      </c>
      <c r="S58" s="53">
        <f>SUM(S41:S57)</f>
        <v>256162</v>
      </c>
      <c r="T58" s="53">
        <f>SUM(T41:T57)</f>
        <v>327447</v>
      </c>
      <c r="U58" s="53"/>
      <c r="V58" s="53">
        <f>SUM(V41:V57)</f>
        <v>231093</v>
      </c>
      <c r="W58" s="53">
        <f>SUM(W41:W57)</f>
        <v>253947</v>
      </c>
      <c r="X58" s="53">
        <f>SUM(X41:X57)</f>
        <v>253947</v>
      </c>
      <c r="Y58" s="53">
        <f>SUM(Y41:Y57)</f>
        <v>314992</v>
      </c>
      <c r="Z58" s="53"/>
      <c r="AA58" s="53">
        <f>SUM(AA41:AA57)</f>
        <v>131892</v>
      </c>
      <c r="AB58" s="53">
        <f>SUM(AB41:AB57)</f>
        <v>144834</v>
      </c>
      <c r="AC58" s="261">
        <f>SUM(AC41:AC57)</f>
        <v>161683</v>
      </c>
    </row>
    <row r="59" spans="1:29" ht="219" customHeight="1" x14ac:dyDescent="0.2">
      <c r="A59" s="56" t="s">
        <v>40</v>
      </c>
      <c r="B59" s="57" t="s">
        <v>179</v>
      </c>
      <c r="C59" s="43">
        <v>4300</v>
      </c>
      <c r="D59" s="58">
        <v>0</v>
      </c>
      <c r="E59" s="58">
        <v>0</v>
      </c>
      <c r="F59" s="58">
        <v>0</v>
      </c>
      <c r="G59" s="58">
        <v>0</v>
      </c>
      <c r="H59" s="50"/>
      <c r="I59" s="59">
        <v>25000</v>
      </c>
      <c r="J59" s="6">
        <v>10000</v>
      </c>
      <c r="K59" s="6">
        <f>5000-0.92</f>
        <v>4999.08</v>
      </c>
      <c r="L59" s="6">
        <f>5000-0.92</f>
        <v>4999.08</v>
      </c>
      <c r="M59" s="6">
        <f>5000-0.92</f>
        <v>4999.08</v>
      </c>
      <c r="N59" s="6">
        <f>5000-0.92</f>
        <v>4999.08</v>
      </c>
      <c r="O59" s="50"/>
      <c r="P59" s="58">
        <v>25000</v>
      </c>
      <c r="Q59" s="58">
        <v>25000</v>
      </c>
      <c r="R59" s="58">
        <v>25000</v>
      </c>
      <c r="S59" s="58">
        <v>25000</v>
      </c>
      <c r="T59" s="55">
        <f>17533.2+0.2+0.48</f>
        <v>17533.88</v>
      </c>
      <c r="U59" s="50"/>
      <c r="V59" s="58">
        <v>25000</v>
      </c>
      <c r="W59" s="58">
        <v>25000</v>
      </c>
      <c r="X59" s="58">
        <v>25000</v>
      </c>
      <c r="Y59" s="55">
        <v>5000</v>
      </c>
      <c r="Z59" s="50"/>
      <c r="AA59" s="58">
        <v>5000</v>
      </c>
      <c r="AB59" s="58">
        <v>5000</v>
      </c>
      <c r="AC59" s="108">
        <v>5000</v>
      </c>
    </row>
    <row r="60" spans="1:29" ht="130.5" customHeight="1" x14ac:dyDescent="0.2">
      <c r="A60" s="60" t="s">
        <v>39</v>
      </c>
      <c r="B60" s="57" t="s">
        <v>126</v>
      </c>
      <c r="C60" s="43">
        <v>4200</v>
      </c>
      <c r="D60" s="58">
        <v>0</v>
      </c>
      <c r="E60" s="58">
        <v>0</v>
      </c>
      <c r="F60" s="58">
        <v>0</v>
      </c>
      <c r="G60" s="58">
        <v>0</v>
      </c>
      <c r="H60" s="50"/>
      <c r="I60" s="59">
        <v>20000</v>
      </c>
      <c r="J60" s="59">
        <v>20000</v>
      </c>
      <c r="K60" s="6">
        <v>10000</v>
      </c>
      <c r="L60" s="6">
        <v>10000</v>
      </c>
      <c r="M60" s="6">
        <v>10000</v>
      </c>
      <c r="N60" s="6">
        <v>10000</v>
      </c>
      <c r="O60" s="50"/>
      <c r="P60" s="58">
        <v>20000</v>
      </c>
      <c r="Q60" s="58">
        <v>20000</v>
      </c>
      <c r="R60" s="58">
        <v>20000</v>
      </c>
      <c r="S60" s="58">
        <v>20000</v>
      </c>
      <c r="T60" s="55">
        <v>3000</v>
      </c>
      <c r="U60" s="50"/>
      <c r="V60" s="58">
        <v>20000</v>
      </c>
      <c r="W60" s="58">
        <v>20000</v>
      </c>
      <c r="X60" s="58">
        <v>20000</v>
      </c>
      <c r="Y60" s="55">
        <v>2500</v>
      </c>
      <c r="Z60" s="50"/>
      <c r="AA60" s="58">
        <v>10000</v>
      </c>
      <c r="AB60" s="58">
        <v>10000</v>
      </c>
      <c r="AC60" s="108">
        <v>10000</v>
      </c>
    </row>
    <row r="61" spans="1:29" ht="381" customHeight="1" x14ac:dyDescent="0.2">
      <c r="A61" s="348" t="s">
        <v>44</v>
      </c>
      <c r="B61" s="363" t="s">
        <v>214</v>
      </c>
      <c r="C61" s="365">
        <v>4400</v>
      </c>
      <c r="D61" s="340">
        <v>0</v>
      </c>
      <c r="E61" s="340">
        <v>0</v>
      </c>
      <c r="F61" s="340">
        <v>0</v>
      </c>
      <c r="G61" s="340">
        <v>0</v>
      </c>
      <c r="H61" s="342"/>
      <c r="I61" s="346">
        <v>52000</v>
      </c>
      <c r="J61" s="346">
        <v>52000</v>
      </c>
      <c r="K61" s="344">
        <f>52000+12909+45156.46</f>
        <v>110065.45999999999</v>
      </c>
      <c r="L61" s="344">
        <f>49022.77+12909+45156.46</f>
        <v>107088.23</v>
      </c>
      <c r="M61" s="344">
        <f>48749.74+1942.41+1955.8+40073.49</f>
        <v>92721.44</v>
      </c>
      <c r="N61" s="344">
        <f>48749.74+1942.41+1955.8+40073.49</f>
        <v>92721.44</v>
      </c>
      <c r="O61" s="342"/>
      <c r="P61" s="340">
        <v>0</v>
      </c>
      <c r="Q61" s="340">
        <v>0</v>
      </c>
      <c r="R61" s="340">
        <v>0</v>
      </c>
      <c r="S61" s="340">
        <v>0</v>
      </c>
      <c r="T61" s="340">
        <v>0</v>
      </c>
      <c r="U61" s="342"/>
      <c r="V61" s="340">
        <v>0</v>
      </c>
      <c r="W61" s="340">
        <v>0</v>
      </c>
      <c r="X61" s="340">
        <v>0</v>
      </c>
      <c r="Y61" s="340">
        <v>0</v>
      </c>
      <c r="Z61" s="342"/>
      <c r="AA61" s="340">
        <v>0</v>
      </c>
      <c r="AB61" s="340">
        <v>0</v>
      </c>
      <c r="AC61" s="338">
        <v>0</v>
      </c>
    </row>
    <row r="62" spans="1:29" ht="13.5" customHeight="1" x14ac:dyDescent="0.2">
      <c r="A62" s="349"/>
      <c r="B62" s="364"/>
      <c r="C62" s="366"/>
      <c r="D62" s="341"/>
      <c r="E62" s="341"/>
      <c r="F62" s="341"/>
      <c r="G62" s="341"/>
      <c r="H62" s="343"/>
      <c r="I62" s="347"/>
      <c r="J62" s="347"/>
      <c r="K62" s="345"/>
      <c r="L62" s="345"/>
      <c r="M62" s="345"/>
      <c r="N62" s="345"/>
      <c r="O62" s="343"/>
      <c r="P62" s="341"/>
      <c r="Q62" s="341"/>
      <c r="R62" s="341"/>
      <c r="S62" s="341"/>
      <c r="T62" s="341"/>
      <c r="U62" s="343"/>
      <c r="V62" s="341"/>
      <c r="W62" s="341"/>
      <c r="X62" s="341"/>
      <c r="Y62" s="341"/>
      <c r="Z62" s="343"/>
      <c r="AA62" s="341"/>
      <c r="AB62" s="341"/>
      <c r="AC62" s="339"/>
    </row>
    <row r="63" spans="1:29" ht="228.75" customHeight="1" x14ac:dyDescent="0.2">
      <c r="A63" s="350"/>
      <c r="B63" s="62" t="s">
        <v>215</v>
      </c>
      <c r="C63" s="63">
        <v>4300</v>
      </c>
      <c r="D63" s="64"/>
      <c r="E63" s="64"/>
      <c r="F63" s="64">
        <v>0</v>
      </c>
      <c r="G63" s="64">
        <v>0</v>
      </c>
      <c r="H63" s="65"/>
      <c r="I63" s="66"/>
      <c r="J63" s="66"/>
      <c r="K63" s="118"/>
      <c r="L63" s="118">
        <v>0</v>
      </c>
      <c r="M63" s="118">
        <f>10713.56+1148.11+1305.62+197.1</f>
        <v>13364.390000000001</v>
      </c>
      <c r="N63" s="118">
        <f>10713.56+1148.11+1305.62+197.1</f>
        <v>13364.390000000001</v>
      </c>
      <c r="O63" s="65"/>
      <c r="P63" s="64"/>
      <c r="Q63" s="64">
        <v>0</v>
      </c>
      <c r="R63" s="64">
        <v>0</v>
      </c>
      <c r="S63" s="64">
        <v>0</v>
      </c>
      <c r="T63" s="232"/>
      <c r="U63" s="65"/>
      <c r="V63" s="64"/>
      <c r="W63" s="64">
        <v>0</v>
      </c>
      <c r="X63" s="64">
        <v>0</v>
      </c>
      <c r="Y63" s="64">
        <v>0</v>
      </c>
      <c r="Z63" s="65"/>
      <c r="AA63" s="64"/>
      <c r="AB63" s="64">
        <v>0</v>
      </c>
      <c r="AC63" s="240">
        <v>0</v>
      </c>
    </row>
    <row r="64" spans="1:29" ht="158.25" customHeight="1" x14ac:dyDescent="0.2">
      <c r="A64" s="252" t="s">
        <v>44</v>
      </c>
      <c r="B64" s="238" t="s">
        <v>240</v>
      </c>
      <c r="C64" s="63">
        <v>4300</v>
      </c>
      <c r="D64" s="64"/>
      <c r="E64" s="64"/>
      <c r="F64" s="64">
        <v>0</v>
      </c>
      <c r="G64" s="64">
        <v>0</v>
      </c>
      <c r="H64" s="65"/>
      <c r="I64" s="66"/>
      <c r="J64" s="66"/>
      <c r="K64" s="118"/>
      <c r="L64" s="118">
        <v>0</v>
      </c>
      <c r="M64" s="118">
        <v>20480.349999999999</v>
      </c>
      <c r="N64" s="118">
        <v>20480.349999999999</v>
      </c>
      <c r="O64" s="65"/>
      <c r="P64" s="64"/>
      <c r="Q64" s="64">
        <v>0</v>
      </c>
      <c r="R64" s="64">
        <v>0</v>
      </c>
      <c r="S64" s="64">
        <v>0</v>
      </c>
      <c r="T64" s="120">
        <v>51399</v>
      </c>
      <c r="U64" s="65"/>
      <c r="V64" s="64"/>
      <c r="W64" s="64">
        <v>0</v>
      </c>
      <c r="X64" s="64">
        <v>0</v>
      </c>
      <c r="Y64" s="64">
        <v>0</v>
      </c>
      <c r="Z64" s="65"/>
      <c r="AA64" s="64"/>
      <c r="AB64" s="64">
        <v>0</v>
      </c>
      <c r="AC64" s="240">
        <v>0</v>
      </c>
    </row>
    <row r="65" spans="1:29" ht="115.5" customHeight="1" x14ac:dyDescent="0.2">
      <c r="A65" s="252" t="s">
        <v>44</v>
      </c>
      <c r="B65" s="238" t="s">
        <v>241</v>
      </c>
      <c r="C65" s="63">
        <v>4400</v>
      </c>
      <c r="D65" s="64"/>
      <c r="E65" s="64"/>
      <c r="F65" s="64">
        <v>0</v>
      </c>
      <c r="G65" s="64">
        <v>0</v>
      </c>
      <c r="H65" s="65"/>
      <c r="I65" s="66"/>
      <c r="J65" s="66"/>
      <c r="K65" s="118"/>
      <c r="L65" s="118">
        <v>0</v>
      </c>
      <c r="M65" s="118">
        <v>3600</v>
      </c>
      <c r="N65" s="118">
        <v>3600</v>
      </c>
      <c r="O65" s="65"/>
      <c r="P65" s="64"/>
      <c r="Q65" s="64">
        <v>0</v>
      </c>
      <c r="R65" s="64">
        <v>0</v>
      </c>
      <c r="S65" s="64">
        <v>0</v>
      </c>
      <c r="T65" s="120">
        <v>8125</v>
      </c>
      <c r="U65" s="65"/>
      <c r="V65" s="64"/>
      <c r="W65" s="64">
        <v>0</v>
      </c>
      <c r="X65" s="64">
        <v>0</v>
      </c>
      <c r="Y65" s="64">
        <v>0</v>
      </c>
      <c r="Z65" s="65"/>
      <c r="AA65" s="64"/>
      <c r="AB65" s="64">
        <v>0</v>
      </c>
      <c r="AC65" s="240">
        <v>0</v>
      </c>
    </row>
    <row r="66" spans="1:29" s="229" customFormat="1" ht="113.25" customHeight="1" x14ac:dyDescent="0.2">
      <c r="A66" s="230" t="s">
        <v>44</v>
      </c>
      <c r="B66" s="238" t="s">
        <v>203</v>
      </c>
      <c r="C66" s="231">
        <v>4400</v>
      </c>
      <c r="D66" s="232"/>
      <c r="E66" s="232"/>
      <c r="F66" s="232">
        <v>0</v>
      </c>
      <c r="G66" s="232">
        <v>0</v>
      </c>
      <c r="H66" s="50"/>
      <c r="I66" s="233"/>
      <c r="J66" s="233"/>
      <c r="K66" s="233">
        <v>0</v>
      </c>
      <c r="L66" s="118">
        <f>16704+500+15000</f>
        <v>32204</v>
      </c>
      <c r="M66" s="118">
        <f>17925+597.5+15000</f>
        <v>33522.5</v>
      </c>
      <c r="N66" s="118">
        <f>17925+597.5+15000</f>
        <v>33522.5</v>
      </c>
      <c r="O66" s="50"/>
      <c r="P66" s="232"/>
      <c r="Q66" s="232">
        <v>0</v>
      </c>
      <c r="R66" s="232">
        <v>0</v>
      </c>
      <c r="S66" s="232">
        <v>0</v>
      </c>
      <c r="T66" s="232">
        <v>0</v>
      </c>
      <c r="U66" s="50"/>
      <c r="V66" s="232"/>
      <c r="W66" s="232">
        <v>0</v>
      </c>
      <c r="X66" s="232">
        <v>0</v>
      </c>
      <c r="Y66" s="232">
        <v>0</v>
      </c>
      <c r="Z66" s="50"/>
      <c r="AA66" s="232"/>
      <c r="AB66" s="232">
        <v>0</v>
      </c>
      <c r="AC66" s="234">
        <v>0</v>
      </c>
    </row>
    <row r="67" spans="1:29" s="229" customFormat="1" ht="217.5" customHeight="1" x14ac:dyDescent="0.2">
      <c r="A67" s="230" t="s">
        <v>44</v>
      </c>
      <c r="B67" s="238" t="s">
        <v>242</v>
      </c>
      <c r="C67" s="231">
        <v>4300</v>
      </c>
      <c r="D67" s="232"/>
      <c r="E67" s="232"/>
      <c r="F67" s="232">
        <v>0</v>
      </c>
      <c r="G67" s="232">
        <v>0</v>
      </c>
      <c r="H67" s="50"/>
      <c r="I67" s="233"/>
      <c r="J67" s="233"/>
      <c r="K67" s="233">
        <v>0</v>
      </c>
      <c r="L67" s="118">
        <v>400</v>
      </c>
      <c r="M67" s="118">
        <f>459.9+613.2+71.18+854.1</f>
        <v>1998.38</v>
      </c>
      <c r="N67" s="118">
        <f>459.9+613.2+71.18+854.1</f>
        <v>1998.38</v>
      </c>
      <c r="O67" s="50"/>
      <c r="P67" s="232"/>
      <c r="Q67" s="232">
        <v>0</v>
      </c>
      <c r="R67" s="232">
        <v>0</v>
      </c>
      <c r="S67" s="232">
        <v>0</v>
      </c>
      <c r="T67" s="120">
        <v>5898.85</v>
      </c>
      <c r="U67" s="50"/>
      <c r="V67" s="232"/>
      <c r="W67" s="232">
        <v>0</v>
      </c>
      <c r="X67" s="232">
        <v>0</v>
      </c>
      <c r="Y67" s="232">
        <v>0</v>
      </c>
      <c r="Z67" s="50"/>
      <c r="AA67" s="232"/>
      <c r="AB67" s="232">
        <v>0</v>
      </c>
      <c r="AC67" s="234">
        <v>0</v>
      </c>
    </row>
    <row r="68" spans="1:29" s="87" customFormat="1" ht="69.599999999999994" customHeight="1" x14ac:dyDescent="0.2">
      <c r="A68" s="252" t="s">
        <v>44</v>
      </c>
      <c r="B68" s="221" t="s">
        <v>163</v>
      </c>
      <c r="C68" s="214">
        <v>4400</v>
      </c>
      <c r="D68" s="120"/>
      <c r="E68" s="120"/>
      <c r="F68" s="120">
        <v>0</v>
      </c>
      <c r="G68" s="120">
        <v>0</v>
      </c>
      <c r="H68" s="50"/>
      <c r="I68" s="118">
        <v>0</v>
      </c>
      <c r="J68" s="118">
        <v>0</v>
      </c>
      <c r="K68" s="118">
        <v>2008</v>
      </c>
      <c r="L68" s="118">
        <v>2008</v>
      </c>
      <c r="M68" s="118">
        <v>2073</v>
      </c>
      <c r="N68" s="118">
        <v>2073</v>
      </c>
      <c r="O68" s="50"/>
      <c r="P68" s="120">
        <v>0</v>
      </c>
      <c r="Q68" s="120">
        <v>0</v>
      </c>
      <c r="R68" s="120">
        <v>0</v>
      </c>
      <c r="S68" s="120">
        <v>0</v>
      </c>
      <c r="T68" s="120">
        <v>0</v>
      </c>
      <c r="U68" s="50"/>
      <c r="V68" s="120">
        <v>0</v>
      </c>
      <c r="W68" s="120">
        <v>0</v>
      </c>
      <c r="X68" s="120">
        <v>0</v>
      </c>
      <c r="Y68" s="120">
        <v>0</v>
      </c>
      <c r="Z68" s="50"/>
      <c r="AA68" s="120">
        <v>0</v>
      </c>
      <c r="AB68" s="120">
        <v>0</v>
      </c>
      <c r="AC68" s="123">
        <v>0</v>
      </c>
    </row>
    <row r="69" spans="1:29" ht="141" customHeight="1" x14ac:dyDescent="0.2">
      <c r="A69" s="61" t="s">
        <v>47</v>
      </c>
      <c r="B69" s="62" t="s">
        <v>127</v>
      </c>
      <c r="C69" s="63">
        <v>4300</v>
      </c>
      <c r="D69" s="64">
        <v>0</v>
      </c>
      <c r="E69" s="64">
        <v>0</v>
      </c>
      <c r="F69" s="64">
        <v>0</v>
      </c>
      <c r="G69" s="64">
        <v>0</v>
      </c>
      <c r="H69" s="65"/>
      <c r="I69" s="66">
        <f>18000+1747</f>
        <v>19747</v>
      </c>
      <c r="J69" s="118">
        <f>18000+1747-1108</f>
        <v>18639</v>
      </c>
      <c r="K69" s="118">
        <v>2500</v>
      </c>
      <c r="L69" s="118">
        <v>2500</v>
      </c>
      <c r="M69" s="233">
        <v>2500</v>
      </c>
      <c r="N69" s="233">
        <v>2500</v>
      </c>
      <c r="O69" s="65"/>
      <c r="P69" s="64">
        <f>40000+7004</f>
        <v>47004</v>
      </c>
      <c r="Q69" s="120">
        <f>40000+7004-30476</f>
        <v>16528</v>
      </c>
      <c r="R69" s="120">
        <f>40000+7004-30476</f>
        <v>16528</v>
      </c>
      <c r="S69" s="232">
        <f>40000+7004-30476</f>
        <v>16528</v>
      </c>
      <c r="T69" s="120">
        <v>11000</v>
      </c>
      <c r="U69" s="65"/>
      <c r="V69" s="64">
        <f>40000+6688</f>
        <v>46688</v>
      </c>
      <c r="W69" s="120">
        <f>40000+6688-30459</f>
        <v>16229</v>
      </c>
      <c r="X69" s="120">
        <f>40000+6688-30459</f>
        <v>16229</v>
      </c>
      <c r="Y69" s="120">
        <v>11000</v>
      </c>
      <c r="Z69" s="65"/>
      <c r="AA69" s="64">
        <f>12000+1728</f>
        <v>13728</v>
      </c>
      <c r="AB69" s="120">
        <f>12000+1728-10323</f>
        <v>3405</v>
      </c>
      <c r="AC69" s="123">
        <v>1000</v>
      </c>
    </row>
    <row r="70" spans="1:29" ht="94.5" customHeight="1" x14ac:dyDescent="0.2">
      <c r="A70" s="40" t="s">
        <v>44</v>
      </c>
      <c r="B70" s="54" t="s">
        <v>128</v>
      </c>
      <c r="C70" s="43">
        <v>4300</v>
      </c>
      <c r="D70" s="58">
        <v>0</v>
      </c>
      <c r="E70" s="55">
        <v>3000</v>
      </c>
      <c r="F70" s="55">
        <v>3000</v>
      </c>
      <c r="G70" s="55">
        <v>2856.26</v>
      </c>
      <c r="H70" s="50"/>
      <c r="I70" s="59">
        <v>3000</v>
      </c>
      <c r="J70" s="6">
        <v>0</v>
      </c>
      <c r="K70" s="6">
        <v>0</v>
      </c>
      <c r="L70" s="6">
        <v>0</v>
      </c>
      <c r="M70" s="6">
        <v>0</v>
      </c>
      <c r="N70" s="6">
        <v>0</v>
      </c>
      <c r="O70" s="50"/>
      <c r="P70" s="58">
        <v>0</v>
      </c>
      <c r="Q70" s="58">
        <v>0</v>
      </c>
      <c r="R70" s="58">
        <v>0</v>
      </c>
      <c r="S70" s="58">
        <v>0</v>
      </c>
      <c r="T70" s="55">
        <v>0</v>
      </c>
      <c r="U70" s="50"/>
      <c r="V70" s="58">
        <v>0</v>
      </c>
      <c r="W70" s="58">
        <v>0</v>
      </c>
      <c r="X70" s="58">
        <v>0</v>
      </c>
      <c r="Y70" s="55">
        <v>0</v>
      </c>
      <c r="Z70" s="50"/>
      <c r="AA70" s="58">
        <v>0</v>
      </c>
      <c r="AB70" s="58">
        <v>0</v>
      </c>
      <c r="AC70" s="256">
        <v>0</v>
      </c>
    </row>
    <row r="71" spans="1:29" ht="107.25" customHeight="1" x14ac:dyDescent="0.2">
      <c r="A71" s="40" t="s">
        <v>47</v>
      </c>
      <c r="B71" s="54" t="s">
        <v>180</v>
      </c>
      <c r="C71" s="43">
        <v>4300</v>
      </c>
      <c r="D71" s="58">
        <v>0</v>
      </c>
      <c r="E71" s="55">
        <v>0</v>
      </c>
      <c r="F71" s="55">
        <v>0</v>
      </c>
      <c r="G71" s="55">
        <v>0</v>
      </c>
      <c r="H71" s="50"/>
      <c r="I71" s="59">
        <v>25000</v>
      </c>
      <c r="J71" s="6">
        <v>25000</v>
      </c>
      <c r="K71" s="6">
        <v>10000</v>
      </c>
      <c r="L71" s="6">
        <f>10000+12518.34+9122</f>
        <v>31640.34</v>
      </c>
      <c r="M71" s="6">
        <f>10000+12518.34+9122-9130.48-8561.38+2279.6-5850-2143.83</f>
        <v>8234.2500000000018</v>
      </c>
      <c r="N71" s="6">
        <f>10000+12518.34+9122-9130.48-8561.38+2279.6-5850-2143.83</f>
        <v>8234.2500000000018</v>
      </c>
      <c r="O71" s="50"/>
      <c r="P71" s="58">
        <v>45073</v>
      </c>
      <c r="Q71" s="58">
        <v>45073</v>
      </c>
      <c r="R71" s="55">
        <v>45073</v>
      </c>
      <c r="S71" s="55">
        <v>51573</v>
      </c>
      <c r="T71" s="55">
        <v>15238</v>
      </c>
      <c r="U71" s="50"/>
      <c r="V71" s="58">
        <v>50883</v>
      </c>
      <c r="W71" s="58">
        <v>50883</v>
      </c>
      <c r="X71" s="58">
        <v>50883</v>
      </c>
      <c r="Y71" s="55">
        <v>10000</v>
      </c>
      <c r="Z71" s="50"/>
      <c r="AA71" s="58">
        <v>0</v>
      </c>
      <c r="AB71" s="58">
        <v>0</v>
      </c>
      <c r="AC71" s="256">
        <v>25000</v>
      </c>
    </row>
    <row r="72" spans="1:29" s="229" customFormat="1" ht="54.75" customHeight="1" x14ac:dyDescent="0.2">
      <c r="A72" s="224" t="s">
        <v>44</v>
      </c>
      <c r="B72" s="239" t="s">
        <v>175</v>
      </c>
      <c r="C72" s="225">
        <v>4300</v>
      </c>
      <c r="D72" s="226"/>
      <c r="E72" s="226"/>
      <c r="F72" s="226">
        <v>0</v>
      </c>
      <c r="G72" s="226">
        <v>0</v>
      </c>
      <c r="H72" s="50"/>
      <c r="I72" s="227"/>
      <c r="J72" s="227"/>
      <c r="K72" s="227">
        <v>0</v>
      </c>
      <c r="L72" s="251">
        <v>16000</v>
      </c>
      <c r="M72" s="251">
        <v>25130.26</v>
      </c>
      <c r="N72" s="251">
        <v>25130.26</v>
      </c>
      <c r="O72" s="50"/>
      <c r="P72" s="226"/>
      <c r="Q72" s="226">
        <v>0</v>
      </c>
      <c r="R72" s="226">
        <v>0</v>
      </c>
      <c r="S72" s="226">
        <v>0</v>
      </c>
      <c r="T72" s="226">
        <v>0</v>
      </c>
      <c r="U72" s="50"/>
      <c r="V72" s="226"/>
      <c r="W72" s="226">
        <v>0</v>
      </c>
      <c r="X72" s="226">
        <v>0</v>
      </c>
      <c r="Y72" s="226">
        <v>0</v>
      </c>
      <c r="Z72" s="50"/>
      <c r="AA72" s="226"/>
      <c r="AB72" s="226">
        <v>0</v>
      </c>
      <c r="AC72" s="228">
        <v>0</v>
      </c>
    </row>
    <row r="73" spans="1:29" ht="363" customHeight="1" x14ac:dyDescent="0.2">
      <c r="A73" s="67" t="s">
        <v>47</v>
      </c>
      <c r="B73" s="68" t="s">
        <v>129</v>
      </c>
      <c r="C73" s="253">
        <v>4300</v>
      </c>
      <c r="D73" s="69">
        <v>0</v>
      </c>
      <c r="E73" s="104">
        <v>20137</v>
      </c>
      <c r="F73" s="104">
        <v>20137</v>
      </c>
      <c r="G73" s="104">
        <v>19093.66</v>
      </c>
      <c r="H73" s="250"/>
      <c r="I73" s="70">
        <f>4680+1680+1680+2975+2275+2425+2425+525+720+4300</f>
        <v>23685</v>
      </c>
      <c r="J73" s="119">
        <v>0</v>
      </c>
      <c r="K73" s="119">
        <v>0</v>
      </c>
      <c r="L73" s="119">
        <v>0</v>
      </c>
      <c r="M73" s="119">
        <v>0</v>
      </c>
      <c r="N73" s="119">
        <v>0</v>
      </c>
      <c r="O73" s="250"/>
      <c r="P73" s="69">
        <f>5850+980+980</f>
        <v>7810</v>
      </c>
      <c r="Q73" s="69">
        <f>5850+980+980</f>
        <v>7810</v>
      </c>
      <c r="R73" s="69">
        <f>5850+980+980</f>
        <v>7810</v>
      </c>
      <c r="S73" s="69">
        <f>5850+980+980</f>
        <v>7810</v>
      </c>
      <c r="T73" s="104">
        <v>0</v>
      </c>
      <c r="U73" s="250"/>
      <c r="V73" s="69">
        <v>0</v>
      </c>
      <c r="W73" s="69">
        <v>0</v>
      </c>
      <c r="X73" s="69">
        <v>0</v>
      </c>
      <c r="Y73" s="69">
        <v>0</v>
      </c>
      <c r="Z73" s="250"/>
      <c r="AA73" s="69">
        <v>0</v>
      </c>
      <c r="AB73" s="69">
        <v>0</v>
      </c>
      <c r="AC73" s="109">
        <v>0</v>
      </c>
    </row>
    <row r="74" spans="1:29" ht="336" customHeight="1" x14ac:dyDescent="0.2">
      <c r="A74" s="71"/>
      <c r="B74" s="62" t="s">
        <v>53</v>
      </c>
      <c r="C74" s="72"/>
      <c r="D74" s="73"/>
      <c r="E74" s="73"/>
      <c r="F74" s="73"/>
      <c r="G74" s="73"/>
      <c r="H74" s="65"/>
      <c r="I74" s="74"/>
      <c r="J74" s="74"/>
      <c r="K74" s="74"/>
      <c r="L74" s="74"/>
      <c r="M74" s="74"/>
      <c r="N74" s="74"/>
      <c r="O74" s="65"/>
      <c r="P74" s="73"/>
      <c r="Q74" s="73"/>
      <c r="R74" s="73"/>
      <c r="S74" s="73"/>
      <c r="T74" s="73"/>
      <c r="U74" s="65"/>
      <c r="V74" s="73"/>
      <c r="W74" s="73"/>
      <c r="X74" s="73"/>
      <c r="Y74" s="73"/>
      <c r="Z74" s="65"/>
      <c r="AA74" s="73"/>
      <c r="AB74" s="73"/>
      <c r="AC74" s="110"/>
    </row>
    <row r="75" spans="1:29" x14ac:dyDescent="0.2">
      <c r="A75" s="52"/>
      <c r="B75" s="46" t="s">
        <v>17</v>
      </c>
      <c r="C75" s="47" t="s">
        <v>18</v>
      </c>
      <c r="D75" s="53">
        <f>SUM(D59:D74)</f>
        <v>0</v>
      </c>
      <c r="E75" s="53">
        <f>SUM(E59:E74)</f>
        <v>23137</v>
      </c>
      <c r="F75" s="53">
        <f>SUM(F59:F74)</f>
        <v>23137</v>
      </c>
      <c r="G75" s="53">
        <f>SUM(G59:G74)</f>
        <v>21949.919999999998</v>
      </c>
      <c r="H75" s="53"/>
      <c r="I75" s="53">
        <f t="shared" ref="I75:N75" si="4">SUM(I59:I74)</f>
        <v>168432</v>
      </c>
      <c r="J75" s="53">
        <f t="shared" si="4"/>
        <v>125639</v>
      </c>
      <c r="K75" s="53">
        <f t="shared" si="4"/>
        <v>139572.53999999998</v>
      </c>
      <c r="L75" s="53">
        <f t="shared" si="4"/>
        <v>206839.65</v>
      </c>
      <c r="M75" s="53">
        <f t="shared" si="4"/>
        <v>218623.65000000002</v>
      </c>
      <c r="N75" s="53">
        <f t="shared" si="4"/>
        <v>218623.65000000002</v>
      </c>
      <c r="O75" s="53"/>
      <c r="P75" s="53">
        <f>SUM(P59:P74)</f>
        <v>144887</v>
      </c>
      <c r="Q75" s="53">
        <f>SUM(Q59:Q74)</f>
        <v>114411</v>
      </c>
      <c r="R75" s="53">
        <f>SUM(R59:R74)</f>
        <v>114411</v>
      </c>
      <c r="S75" s="53">
        <f>SUM(S59:S74)</f>
        <v>120911</v>
      </c>
      <c r="T75" s="53">
        <f>SUM(T59:T74)</f>
        <v>112194.73000000001</v>
      </c>
      <c r="U75" s="53"/>
      <c r="V75" s="53">
        <f>SUM(V59:V74)</f>
        <v>142571</v>
      </c>
      <c r="W75" s="53">
        <f>SUM(W59:W74)</f>
        <v>112112</v>
      </c>
      <c r="X75" s="53">
        <f>SUM(X59:X74)</f>
        <v>112112</v>
      </c>
      <c r="Y75" s="53">
        <f>SUM(Y59:Y74)</f>
        <v>28500</v>
      </c>
      <c r="Z75" s="53"/>
      <c r="AA75" s="53">
        <f>SUM(AA59:AA74)</f>
        <v>28728</v>
      </c>
      <c r="AB75" s="53">
        <f>SUM(AB59:AB74)</f>
        <v>18405</v>
      </c>
      <c r="AC75" s="107">
        <f>SUM(AC59:AC74)</f>
        <v>41000</v>
      </c>
    </row>
    <row r="76" spans="1:29" ht="93" customHeight="1" x14ac:dyDescent="0.2">
      <c r="A76" s="60" t="s">
        <v>140</v>
      </c>
      <c r="B76" s="75" t="s">
        <v>243</v>
      </c>
      <c r="C76" s="43">
        <v>5800</v>
      </c>
      <c r="D76" s="76">
        <v>50000</v>
      </c>
      <c r="E76" s="76">
        <v>50000</v>
      </c>
      <c r="F76" s="76">
        <v>50000</v>
      </c>
      <c r="G76" s="76">
        <v>48990</v>
      </c>
      <c r="H76" s="77"/>
      <c r="I76" s="76">
        <v>250000</v>
      </c>
      <c r="J76" s="121">
        <v>255530</v>
      </c>
      <c r="K76" s="121">
        <v>255530</v>
      </c>
      <c r="L76" s="121">
        <v>255530</v>
      </c>
      <c r="M76" s="121">
        <v>255530</v>
      </c>
      <c r="N76" s="121">
        <v>255530</v>
      </c>
      <c r="O76" s="77"/>
      <c r="P76" s="76">
        <v>250000</v>
      </c>
      <c r="Q76" s="121">
        <v>255530</v>
      </c>
      <c r="R76" s="121">
        <v>255530</v>
      </c>
      <c r="S76" s="121">
        <v>255530</v>
      </c>
      <c r="T76" s="121">
        <f>255530+17853</f>
        <v>273383</v>
      </c>
      <c r="U76" s="77"/>
      <c r="V76" s="76">
        <v>250000</v>
      </c>
      <c r="W76" s="121">
        <v>255530</v>
      </c>
      <c r="X76" s="121">
        <v>255530</v>
      </c>
      <c r="Y76" s="121">
        <v>255530</v>
      </c>
      <c r="Z76" s="77"/>
      <c r="AA76" s="76">
        <v>150000</v>
      </c>
      <c r="AB76" s="121">
        <v>150000</v>
      </c>
      <c r="AC76" s="115">
        <v>150000</v>
      </c>
    </row>
    <row r="77" spans="1:29" ht="84" customHeight="1" x14ac:dyDescent="0.2">
      <c r="A77" s="40" t="s">
        <v>47</v>
      </c>
      <c r="B77" s="54" t="s">
        <v>170</v>
      </c>
      <c r="C77" s="103">
        <v>5800</v>
      </c>
      <c r="D77" s="58">
        <v>0</v>
      </c>
      <c r="E77" s="58">
        <v>0</v>
      </c>
      <c r="F77" s="58">
        <v>0</v>
      </c>
      <c r="G77" s="58">
        <v>0</v>
      </c>
      <c r="H77" s="50"/>
      <c r="I77" s="59">
        <v>5000</v>
      </c>
      <c r="J77" s="6">
        <v>5000</v>
      </c>
      <c r="K77" s="6">
        <v>10743</v>
      </c>
      <c r="L77" s="6">
        <v>10743</v>
      </c>
      <c r="M77" s="6">
        <v>10743</v>
      </c>
      <c r="N77" s="6">
        <v>10743</v>
      </c>
      <c r="O77" s="50"/>
      <c r="P77" s="58">
        <v>5000</v>
      </c>
      <c r="Q77" s="58">
        <v>5000</v>
      </c>
      <c r="R77" s="58">
        <v>5000</v>
      </c>
      <c r="S77" s="58">
        <v>5000</v>
      </c>
      <c r="T77" s="55">
        <v>0</v>
      </c>
      <c r="U77" s="50"/>
      <c r="V77" s="58">
        <v>5000</v>
      </c>
      <c r="W77" s="58">
        <v>5000</v>
      </c>
      <c r="X77" s="58">
        <v>5000</v>
      </c>
      <c r="Y77" s="58">
        <v>5000</v>
      </c>
      <c r="Z77" s="50"/>
      <c r="AA77" s="58">
        <v>5000</v>
      </c>
      <c r="AB77" s="58">
        <v>5000</v>
      </c>
      <c r="AC77" s="108">
        <v>5000</v>
      </c>
    </row>
    <row r="78" spans="1:29" ht="113.25" customHeight="1" x14ac:dyDescent="0.2">
      <c r="A78" s="56" t="s">
        <v>47</v>
      </c>
      <c r="B78" s="57" t="s">
        <v>244</v>
      </c>
      <c r="C78" s="43">
        <v>5800</v>
      </c>
      <c r="D78" s="58">
        <v>0</v>
      </c>
      <c r="E78" s="58">
        <v>0</v>
      </c>
      <c r="F78" s="58">
        <v>0</v>
      </c>
      <c r="G78" s="58">
        <v>0</v>
      </c>
      <c r="H78" s="50"/>
      <c r="I78" s="59">
        <v>130000</v>
      </c>
      <c r="J78" s="59">
        <v>130000</v>
      </c>
      <c r="K78" s="6">
        <v>85925</v>
      </c>
      <c r="L78" s="6">
        <v>0</v>
      </c>
      <c r="M78" s="6">
        <v>0</v>
      </c>
      <c r="N78" s="6">
        <v>0</v>
      </c>
      <c r="O78" s="50"/>
      <c r="P78" s="58">
        <v>130000</v>
      </c>
      <c r="Q78" s="58">
        <v>130000</v>
      </c>
      <c r="R78" s="58">
        <v>130000</v>
      </c>
      <c r="S78" s="58">
        <v>130000</v>
      </c>
      <c r="T78" s="55">
        <v>0</v>
      </c>
      <c r="U78" s="50"/>
      <c r="V78" s="58">
        <v>130000</v>
      </c>
      <c r="W78" s="58">
        <v>130000</v>
      </c>
      <c r="X78" s="58">
        <v>130000</v>
      </c>
      <c r="Y78" s="55">
        <v>79751</v>
      </c>
      <c r="Z78" s="50"/>
      <c r="AA78" s="58">
        <v>130000</v>
      </c>
      <c r="AB78" s="58">
        <v>130000</v>
      </c>
      <c r="AC78" s="256">
        <v>126922</v>
      </c>
    </row>
    <row r="79" spans="1:29" ht="116.25" customHeight="1" x14ac:dyDescent="0.2">
      <c r="A79" s="56" t="s">
        <v>48</v>
      </c>
      <c r="B79" s="57" t="s">
        <v>144</v>
      </c>
      <c r="C79" s="43">
        <v>5800</v>
      </c>
      <c r="D79" s="58">
        <v>0</v>
      </c>
      <c r="E79" s="58">
        <v>0</v>
      </c>
      <c r="F79" s="58">
        <v>0</v>
      </c>
      <c r="G79" s="58">
        <v>0</v>
      </c>
      <c r="H79" s="50"/>
      <c r="I79" s="59">
        <v>35000</v>
      </c>
      <c r="J79" s="59">
        <v>35000</v>
      </c>
      <c r="K79" s="6">
        <v>60000</v>
      </c>
      <c r="L79" s="6">
        <v>60000</v>
      </c>
      <c r="M79" s="6">
        <v>60000</v>
      </c>
      <c r="N79" s="6">
        <v>60000</v>
      </c>
      <c r="O79" s="50"/>
      <c r="P79" s="58">
        <v>35000</v>
      </c>
      <c r="Q79" s="58">
        <v>35000</v>
      </c>
      <c r="R79" s="55">
        <f>35000+15000</f>
        <v>50000</v>
      </c>
      <c r="S79" s="55">
        <f>35000+15000</f>
        <v>50000</v>
      </c>
      <c r="T79" s="55">
        <v>50000</v>
      </c>
      <c r="U79" s="50"/>
      <c r="V79" s="58">
        <v>35000</v>
      </c>
      <c r="W79" s="58">
        <v>35000</v>
      </c>
      <c r="X79" s="55">
        <f>35000+15000</f>
        <v>50000</v>
      </c>
      <c r="Y79" s="55">
        <v>50000</v>
      </c>
      <c r="Z79" s="50"/>
      <c r="AA79" s="58">
        <v>35000</v>
      </c>
      <c r="AB79" s="58">
        <v>35000</v>
      </c>
      <c r="AC79" s="256">
        <v>35000</v>
      </c>
    </row>
    <row r="80" spans="1:29" s="79" customFormat="1" ht="57" customHeight="1" x14ac:dyDescent="0.2">
      <c r="A80" s="56" t="s">
        <v>48</v>
      </c>
      <c r="B80" s="78" t="s">
        <v>130</v>
      </c>
      <c r="C80" s="41">
        <v>5800</v>
      </c>
      <c r="D80" s="76">
        <v>0</v>
      </c>
      <c r="E80" s="76">
        <v>0</v>
      </c>
      <c r="F80" s="76">
        <v>0</v>
      </c>
      <c r="G80" s="76">
        <v>0</v>
      </c>
      <c r="H80" s="77"/>
      <c r="I80" s="76">
        <v>48000</v>
      </c>
      <c r="J80" s="76">
        <v>48000</v>
      </c>
      <c r="K80" s="121">
        <v>25716.54</v>
      </c>
      <c r="L80" s="121">
        <v>0</v>
      </c>
      <c r="M80" s="121">
        <v>0</v>
      </c>
      <c r="N80" s="121">
        <v>0</v>
      </c>
      <c r="O80" s="77"/>
      <c r="P80" s="76">
        <v>60000</v>
      </c>
      <c r="Q80" s="76">
        <v>60000</v>
      </c>
      <c r="R80" s="121">
        <v>60000</v>
      </c>
      <c r="S80" s="121">
        <v>60000</v>
      </c>
      <c r="T80" s="121">
        <v>0</v>
      </c>
      <c r="U80" s="77"/>
      <c r="V80" s="76">
        <v>60000</v>
      </c>
      <c r="W80" s="76">
        <v>60000</v>
      </c>
      <c r="X80" s="76">
        <v>60000</v>
      </c>
      <c r="Y80" s="121">
        <v>10000</v>
      </c>
      <c r="Z80" s="77"/>
      <c r="AA80" s="76">
        <v>15000</v>
      </c>
      <c r="AB80" s="76">
        <v>15000</v>
      </c>
      <c r="AC80" s="115">
        <v>15000</v>
      </c>
    </row>
    <row r="81" spans="1:29" ht="65.25" customHeight="1" x14ac:dyDescent="0.2">
      <c r="A81" s="56" t="s">
        <v>48</v>
      </c>
      <c r="B81" s="75" t="s">
        <v>131</v>
      </c>
      <c r="C81" s="43">
        <v>5800</v>
      </c>
      <c r="D81" s="76">
        <v>0</v>
      </c>
      <c r="E81" s="76">
        <v>0</v>
      </c>
      <c r="F81" s="76">
        <v>0</v>
      </c>
      <c r="G81" s="76">
        <v>0</v>
      </c>
      <c r="H81" s="77"/>
      <c r="I81" s="76">
        <v>30000</v>
      </c>
      <c r="J81" s="76">
        <v>30000</v>
      </c>
      <c r="K81" s="121">
        <v>20000</v>
      </c>
      <c r="L81" s="121">
        <v>0</v>
      </c>
      <c r="M81" s="121">
        <v>0</v>
      </c>
      <c r="N81" s="121">
        <v>0</v>
      </c>
      <c r="O81" s="77"/>
      <c r="P81" s="76">
        <v>40000</v>
      </c>
      <c r="Q81" s="76">
        <v>40000</v>
      </c>
      <c r="R81" s="121">
        <v>40000</v>
      </c>
      <c r="S81" s="121">
        <v>40000</v>
      </c>
      <c r="T81" s="121">
        <v>0</v>
      </c>
      <c r="U81" s="77"/>
      <c r="V81" s="76">
        <v>40000</v>
      </c>
      <c r="W81" s="76">
        <v>40000</v>
      </c>
      <c r="X81" s="76">
        <v>40000</v>
      </c>
      <c r="Y81" s="121">
        <v>10000</v>
      </c>
      <c r="Z81" s="77"/>
      <c r="AA81" s="76">
        <v>15000</v>
      </c>
      <c r="AB81" s="76">
        <v>15000</v>
      </c>
      <c r="AC81" s="115">
        <v>15000</v>
      </c>
    </row>
    <row r="82" spans="1:29" ht="74.099999999999994" customHeight="1" x14ac:dyDescent="0.2">
      <c r="A82" s="56" t="s">
        <v>48</v>
      </c>
      <c r="B82" s="75" t="s">
        <v>245</v>
      </c>
      <c r="C82" s="43">
        <v>5800</v>
      </c>
      <c r="D82" s="76">
        <v>0</v>
      </c>
      <c r="E82" s="76">
        <v>0</v>
      </c>
      <c r="F82" s="76">
        <v>0</v>
      </c>
      <c r="G82" s="76">
        <v>0</v>
      </c>
      <c r="H82" s="77"/>
      <c r="I82" s="76">
        <v>15000</v>
      </c>
      <c r="J82" s="76">
        <v>15000</v>
      </c>
      <c r="K82" s="121">
        <v>0</v>
      </c>
      <c r="L82" s="121">
        <v>0</v>
      </c>
      <c r="M82" s="121">
        <v>0</v>
      </c>
      <c r="N82" s="121">
        <v>0</v>
      </c>
      <c r="O82" s="77"/>
      <c r="P82" s="76">
        <v>15000</v>
      </c>
      <c r="Q82" s="76">
        <v>15000</v>
      </c>
      <c r="R82" s="121">
        <v>965</v>
      </c>
      <c r="S82" s="121">
        <v>965</v>
      </c>
      <c r="T82" s="121">
        <v>20405.5</v>
      </c>
      <c r="U82" s="77"/>
      <c r="V82" s="76">
        <v>15000</v>
      </c>
      <c r="W82" s="76">
        <v>15000</v>
      </c>
      <c r="X82" s="76">
        <v>15000</v>
      </c>
      <c r="Y82" s="121">
        <v>9000</v>
      </c>
      <c r="Z82" s="77"/>
      <c r="AA82" s="76">
        <v>15000</v>
      </c>
      <c r="AB82" s="76">
        <v>15000</v>
      </c>
      <c r="AC82" s="115">
        <v>5000</v>
      </c>
    </row>
    <row r="83" spans="1:29" ht="81" customHeight="1" x14ac:dyDescent="0.2">
      <c r="A83" s="40" t="s">
        <v>137</v>
      </c>
      <c r="B83" s="122" t="s">
        <v>138</v>
      </c>
      <c r="C83" s="43">
        <v>5800</v>
      </c>
      <c r="D83" s="76">
        <v>0</v>
      </c>
      <c r="E83" s="76">
        <v>0</v>
      </c>
      <c r="F83" s="76">
        <v>0</v>
      </c>
      <c r="G83" s="76">
        <v>0</v>
      </c>
      <c r="H83" s="77"/>
      <c r="I83" s="76">
        <v>0</v>
      </c>
      <c r="J83" s="121">
        <v>40000</v>
      </c>
      <c r="K83" s="121">
        <v>40000</v>
      </c>
      <c r="L83" s="121">
        <v>40000</v>
      </c>
      <c r="M83" s="121">
        <v>40000</v>
      </c>
      <c r="N83" s="121">
        <v>40000</v>
      </c>
      <c r="O83" s="77"/>
      <c r="P83" s="76">
        <v>0</v>
      </c>
      <c r="Q83" s="76">
        <v>0</v>
      </c>
      <c r="R83" s="121">
        <v>0</v>
      </c>
      <c r="S83" s="121">
        <v>0</v>
      </c>
      <c r="T83" s="121">
        <v>0</v>
      </c>
      <c r="U83" s="77"/>
      <c r="V83" s="76">
        <v>0</v>
      </c>
      <c r="W83" s="76">
        <v>0</v>
      </c>
      <c r="X83" s="76">
        <v>0</v>
      </c>
      <c r="Y83" s="121">
        <v>0</v>
      </c>
      <c r="Z83" s="77"/>
      <c r="AA83" s="76">
        <v>0</v>
      </c>
      <c r="AB83" s="76">
        <v>0</v>
      </c>
      <c r="AC83" s="111">
        <v>0</v>
      </c>
    </row>
    <row r="84" spans="1:29" s="87" customFormat="1" ht="54.75" customHeight="1" x14ac:dyDescent="0.2">
      <c r="A84" s="40" t="s">
        <v>44</v>
      </c>
      <c r="B84" s="122" t="s">
        <v>161</v>
      </c>
      <c r="C84" s="103">
        <v>5800</v>
      </c>
      <c r="D84" s="121">
        <v>0</v>
      </c>
      <c r="E84" s="121">
        <v>0</v>
      </c>
      <c r="F84" s="121">
        <v>0</v>
      </c>
      <c r="G84" s="121">
        <v>0</v>
      </c>
      <c r="H84" s="77"/>
      <c r="I84" s="121">
        <v>0</v>
      </c>
      <c r="J84" s="121">
        <v>0</v>
      </c>
      <c r="K84" s="121">
        <v>9400</v>
      </c>
      <c r="L84" s="121">
        <v>9400</v>
      </c>
      <c r="M84" s="121">
        <f>9400+4000</f>
        <v>13400</v>
      </c>
      <c r="N84" s="121">
        <f>9400+4000</f>
        <v>13400</v>
      </c>
      <c r="O84" s="77"/>
      <c r="P84" s="121">
        <v>0</v>
      </c>
      <c r="Q84" s="121">
        <v>0</v>
      </c>
      <c r="R84" s="121">
        <v>0</v>
      </c>
      <c r="S84" s="121">
        <v>0</v>
      </c>
      <c r="T84" s="121">
        <v>8000</v>
      </c>
      <c r="U84" s="77"/>
      <c r="V84" s="121">
        <v>0</v>
      </c>
      <c r="W84" s="121">
        <v>0</v>
      </c>
      <c r="X84" s="121">
        <v>0</v>
      </c>
      <c r="Y84" s="121">
        <v>8000</v>
      </c>
      <c r="Z84" s="77"/>
      <c r="AA84" s="121">
        <v>0</v>
      </c>
      <c r="AB84" s="121">
        <v>0</v>
      </c>
      <c r="AC84" s="115">
        <v>0</v>
      </c>
    </row>
    <row r="85" spans="1:29" s="87" customFormat="1" ht="65.25" customHeight="1" x14ac:dyDescent="0.2">
      <c r="A85" s="40" t="s">
        <v>44</v>
      </c>
      <c r="B85" s="122" t="s">
        <v>183</v>
      </c>
      <c r="C85" s="103">
        <v>5800</v>
      </c>
      <c r="D85" s="121">
        <v>0</v>
      </c>
      <c r="E85" s="121">
        <v>0</v>
      </c>
      <c r="F85" s="121">
        <v>0</v>
      </c>
      <c r="G85" s="121">
        <v>0</v>
      </c>
      <c r="H85" s="77"/>
      <c r="I85" s="121">
        <v>0</v>
      </c>
      <c r="J85" s="121">
        <v>0</v>
      </c>
      <c r="K85" s="121">
        <v>25000</v>
      </c>
      <c r="L85" s="121">
        <v>25000</v>
      </c>
      <c r="M85" s="121">
        <v>25000</v>
      </c>
      <c r="N85" s="121">
        <v>25000</v>
      </c>
      <c r="O85" s="77"/>
      <c r="P85" s="121">
        <v>0</v>
      </c>
      <c r="Q85" s="121">
        <v>0</v>
      </c>
      <c r="R85" s="121">
        <v>0</v>
      </c>
      <c r="S85" s="121">
        <v>0</v>
      </c>
      <c r="T85" s="121">
        <v>12500</v>
      </c>
      <c r="U85" s="77"/>
      <c r="V85" s="121">
        <v>0</v>
      </c>
      <c r="W85" s="121">
        <v>0</v>
      </c>
      <c r="X85" s="121">
        <v>0</v>
      </c>
      <c r="Y85" s="121">
        <v>12500</v>
      </c>
      <c r="Z85" s="77"/>
      <c r="AA85" s="121">
        <v>0</v>
      </c>
      <c r="AB85" s="121">
        <v>0</v>
      </c>
      <c r="AC85" s="115">
        <v>0</v>
      </c>
    </row>
    <row r="86" spans="1:29" s="87" customFormat="1" ht="65.25" customHeight="1" x14ac:dyDescent="0.2">
      <c r="A86" s="40" t="s">
        <v>44</v>
      </c>
      <c r="B86" s="122" t="s">
        <v>184</v>
      </c>
      <c r="C86" s="103">
        <v>5800</v>
      </c>
      <c r="D86" s="121"/>
      <c r="E86" s="121"/>
      <c r="F86" s="121">
        <v>0</v>
      </c>
      <c r="G86" s="121">
        <v>0</v>
      </c>
      <c r="H86" s="77"/>
      <c r="I86" s="121">
        <v>0</v>
      </c>
      <c r="J86" s="121">
        <v>0</v>
      </c>
      <c r="K86" s="121">
        <v>25000</v>
      </c>
      <c r="L86" s="121">
        <v>25000</v>
      </c>
      <c r="M86" s="121">
        <v>25000</v>
      </c>
      <c r="N86" s="121">
        <v>25000</v>
      </c>
      <c r="O86" s="77"/>
      <c r="P86" s="121">
        <v>0</v>
      </c>
      <c r="Q86" s="121">
        <v>0</v>
      </c>
      <c r="R86" s="121">
        <v>0</v>
      </c>
      <c r="S86" s="121">
        <v>0</v>
      </c>
      <c r="T86" s="121">
        <v>12500</v>
      </c>
      <c r="U86" s="77"/>
      <c r="V86" s="121">
        <v>0</v>
      </c>
      <c r="W86" s="121">
        <v>0</v>
      </c>
      <c r="X86" s="121">
        <v>0</v>
      </c>
      <c r="Y86" s="121">
        <v>12500</v>
      </c>
      <c r="Z86" s="77"/>
      <c r="AA86" s="121">
        <v>0</v>
      </c>
      <c r="AB86" s="121">
        <v>0</v>
      </c>
      <c r="AC86" s="115">
        <v>0</v>
      </c>
    </row>
    <row r="87" spans="1:29" ht="124.5" customHeight="1" x14ac:dyDescent="0.2">
      <c r="A87" s="56" t="s">
        <v>48</v>
      </c>
      <c r="B87" s="116" t="s">
        <v>168</v>
      </c>
      <c r="C87" s="43">
        <v>5800</v>
      </c>
      <c r="D87" s="76">
        <v>0</v>
      </c>
      <c r="E87" s="76">
        <v>0</v>
      </c>
      <c r="F87" s="76">
        <v>0</v>
      </c>
      <c r="G87" s="76">
        <v>0</v>
      </c>
      <c r="H87" s="77"/>
      <c r="I87" s="76">
        <v>15000</v>
      </c>
      <c r="J87" s="121">
        <v>0</v>
      </c>
      <c r="K87" s="121">
        <v>0</v>
      </c>
      <c r="L87" s="121">
        <v>0</v>
      </c>
      <c r="M87" s="121">
        <v>0</v>
      </c>
      <c r="N87" s="121">
        <v>0</v>
      </c>
      <c r="O87" s="77"/>
      <c r="P87" s="76">
        <v>15000</v>
      </c>
      <c r="Q87" s="76">
        <v>15000</v>
      </c>
      <c r="R87" s="121">
        <v>0</v>
      </c>
      <c r="S87" s="121">
        <v>0</v>
      </c>
      <c r="T87" s="121">
        <v>0</v>
      </c>
      <c r="U87" s="77"/>
      <c r="V87" s="76">
        <v>15000</v>
      </c>
      <c r="W87" s="76">
        <v>15000</v>
      </c>
      <c r="X87" s="121">
        <v>0</v>
      </c>
      <c r="Y87" s="121">
        <v>0</v>
      </c>
      <c r="Z87" s="77"/>
      <c r="AA87" s="76">
        <v>6000</v>
      </c>
      <c r="AB87" s="76">
        <v>6000</v>
      </c>
      <c r="AC87" s="115">
        <v>0</v>
      </c>
    </row>
    <row r="88" spans="1:29" x14ac:dyDescent="0.2">
      <c r="A88" s="52"/>
      <c r="B88" s="46" t="s">
        <v>19</v>
      </c>
      <c r="C88" s="47" t="s">
        <v>20</v>
      </c>
      <c r="D88" s="53">
        <f>SUM(D76:D87)</f>
        <v>50000</v>
      </c>
      <c r="E88" s="53">
        <f>SUM(E76:E87)</f>
        <v>50000</v>
      </c>
      <c r="F88" s="53">
        <f>SUM(F76:F87)</f>
        <v>50000</v>
      </c>
      <c r="G88" s="53">
        <f>SUM(G76:G87)</f>
        <v>48990</v>
      </c>
      <c r="H88" s="53"/>
      <c r="I88" s="53">
        <f t="shared" ref="I88:N88" si="5">SUM(I76:I87)</f>
        <v>528000</v>
      </c>
      <c r="J88" s="53">
        <f t="shared" si="5"/>
        <v>558530</v>
      </c>
      <c r="K88" s="53">
        <f t="shared" si="5"/>
        <v>557314.54</v>
      </c>
      <c r="L88" s="53">
        <f t="shared" si="5"/>
        <v>425673</v>
      </c>
      <c r="M88" s="53">
        <f t="shared" si="5"/>
        <v>429673</v>
      </c>
      <c r="N88" s="53">
        <f t="shared" si="5"/>
        <v>429673</v>
      </c>
      <c r="O88" s="53"/>
      <c r="P88" s="53">
        <f>SUM(P76:P87)</f>
        <v>550000</v>
      </c>
      <c r="Q88" s="53">
        <f>SUM(Q76:Q87)</f>
        <v>555530</v>
      </c>
      <c r="R88" s="53">
        <f>SUM(R76:R87)</f>
        <v>541495</v>
      </c>
      <c r="S88" s="53">
        <f>SUM(S76:S87)</f>
        <v>541495</v>
      </c>
      <c r="T88" s="53">
        <f>SUM(T76:T87)</f>
        <v>376788.5</v>
      </c>
      <c r="U88" s="53"/>
      <c r="V88" s="53">
        <f>SUM(V76:V87)</f>
        <v>550000</v>
      </c>
      <c r="W88" s="53">
        <f>SUM(W76:W87)</f>
        <v>555530</v>
      </c>
      <c r="X88" s="53">
        <f>SUM(X76:X87)</f>
        <v>555530</v>
      </c>
      <c r="Y88" s="53">
        <f>SUM(Y76:Y87)</f>
        <v>452281</v>
      </c>
      <c r="Z88" s="53"/>
      <c r="AA88" s="53">
        <f>SUM(AA76:AA87)</f>
        <v>371000</v>
      </c>
      <c r="AB88" s="53">
        <f>SUM(AB76:AB87)</f>
        <v>371000</v>
      </c>
      <c r="AC88" s="107">
        <f>SUM(AC76:AC87)</f>
        <v>351922</v>
      </c>
    </row>
    <row r="89" spans="1:29" x14ac:dyDescent="0.2">
      <c r="A89" s="81"/>
      <c r="B89" s="80"/>
      <c r="C89" s="82"/>
      <c r="D89" s="76"/>
      <c r="E89" s="76"/>
      <c r="F89" s="76"/>
      <c r="G89" s="76"/>
      <c r="H89" s="77"/>
      <c r="I89" s="76"/>
      <c r="J89" s="76"/>
      <c r="K89" s="76"/>
      <c r="L89" s="76"/>
      <c r="M89" s="76"/>
      <c r="N89" s="76"/>
      <c r="O89" s="77"/>
      <c r="P89" s="76"/>
      <c r="Q89" s="76"/>
      <c r="R89" s="76"/>
      <c r="S89" s="76"/>
      <c r="T89" s="76"/>
      <c r="U89" s="77"/>
      <c r="V89" s="76"/>
      <c r="W89" s="76"/>
      <c r="X89" s="76"/>
      <c r="Y89" s="76"/>
      <c r="Z89" s="77"/>
      <c r="AA89" s="76"/>
      <c r="AB89" s="76"/>
      <c r="AC89" s="111"/>
    </row>
    <row r="90" spans="1:29" x14ac:dyDescent="0.2">
      <c r="A90" s="81"/>
      <c r="B90" s="80"/>
      <c r="C90" s="82"/>
      <c r="D90" s="76"/>
      <c r="E90" s="76"/>
      <c r="F90" s="76"/>
      <c r="G90" s="76"/>
      <c r="H90" s="77"/>
      <c r="I90" s="76"/>
      <c r="J90" s="76"/>
      <c r="K90" s="76"/>
      <c r="L90" s="76"/>
      <c r="M90" s="76"/>
      <c r="N90" s="76"/>
      <c r="O90" s="77"/>
      <c r="P90" s="76"/>
      <c r="Q90" s="76"/>
      <c r="R90" s="76"/>
      <c r="S90" s="76"/>
      <c r="T90" s="76"/>
      <c r="U90" s="77"/>
      <c r="V90" s="76"/>
      <c r="W90" s="76"/>
      <c r="X90" s="76"/>
      <c r="Y90" s="76"/>
      <c r="Z90" s="77"/>
      <c r="AA90" s="76"/>
      <c r="AB90" s="76"/>
      <c r="AC90" s="111"/>
    </row>
    <row r="91" spans="1:29" x14ac:dyDescent="0.2">
      <c r="A91" s="52"/>
      <c r="B91" s="46" t="s">
        <v>21</v>
      </c>
      <c r="C91" s="47" t="s">
        <v>22</v>
      </c>
      <c r="D91" s="53">
        <f>SUM(D89:D90)</f>
        <v>0</v>
      </c>
      <c r="E91" s="53">
        <f>SUM(E89:E90)</f>
        <v>0</v>
      </c>
      <c r="F91" s="53">
        <f>SUM(F89:F90)</f>
        <v>0</v>
      </c>
      <c r="G91" s="53">
        <f>SUM(G89:G90)</f>
        <v>0</v>
      </c>
      <c r="H91" s="53"/>
      <c r="I91" s="53">
        <f t="shared" ref="I91:N91" si="6">SUM(I89:I90)</f>
        <v>0</v>
      </c>
      <c r="J91" s="53">
        <f t="shared" si="6"/>
        <v>0</v>
      </c>
      <c r="K91" s="53">
        <f t="shared" si="6"/>
        <v>0</v>
      </c>
      <c r="L91" s="53">
        <f t="shared" si="6"/>
        <v>0</v>
      </c>
      <c r="M91" s="53">
        <f t="shared" si="6"/>
        <v>0</v>
      </c>
      <c r="N91" s="53">
        <f t="shared" si="6"/>
        <v>0</v>
      </c>
      <c r="O91" s="53"/>
      <c r="P91" s="53">
        <f>SUM(P89:P90)</f>
        <v>0</v>
      </c>
      <c r="Q91" s="53">
        <f>SUM(Q89:Q90)</f>
        <v>0</v>
      </c>
      <c r="R91" s="53">
        <f>SUM(R89:R90)</f>
        <v>0</v>
      </c>
      <c r="S91" s="53">
        <f>SUM(S89:S90)</f>
        <v>0</v>
      </c>
      <c r="T91" s="53">
        <f>SUM(T89:T90)</f>
        <v>0</v>
      </c>
      <c r="U91" s="53"/>
      <c r="V91" s="53">
        <f>SUM(V89:V90)</f>
        <v>0</v>
      </c>
      <c r="W91" s="53">
        <f>SUM(W89:W90)</f>
        <v>0</v>
      </c>
      <c r="X91" s="53">
        <f>SUM(X89:X90)</f>
        <v>0</v>
      </c>
      <c r="Y91" s="53">
        <f>SUM(Y89:Y90)</f>
        <v>0</v>
      </c>
      <c r="Z91" s="53"/>
      <c r="AA91" s="53">
        <f>SUM(AA89:AA90)</f>
        <v>0</v>
      </c>
      <c r="AB91" s="53">
        <f>SUM(AB89:AB90)</f>
        <v>0</v>
      </c>
      <c r="AC91" s="107">
        <f>SUM(AC89:AC90)</f>
        <v>0</v>
      </c>
    </row>
    <row r="92" spans="1:29" s="87" customFormat="1" x14ac:dyDescent="0.2">
      <c r="A92" s="83"/>
      <c r="B92" s="84"/>
      <c r="C92" s="85"/>
      <c r="D92" s="86"/>
      <c r="E92" s="86"/>
      <c r="F92" s="86"/>
      <c r="G92" s="86"/>
      <c r="H92" s="53"/>
      <c r="I92" s="86"/>
      <c r="J92" s="86"/>
      <c r="K92" s="86"/>
      <c r="L92" s="86"/>
      <c r="M92" s="86"/>
      <c r="N92" s="86"/>
      <c r="O92" s="53"/>
      <c r="P92" s="86"/>
      <c r="Q92" s="86"/>
      <c r="R92" s="86"/>
      <c r="S92" s="86"/>
      <c r="T92" s="86"/>
      <c r="U92" s="53"/>
      <c r="V92" s="86"/>
      <c r="W92" s="86"/>
      <c r="X92" s="86"/>
      <c r="Y92" s="86"/>
      <c r="Z92" s="53"/>
      <c r="AA92" s="86"/>
      <c r="AB92" s="86"/>
      <c r="AC92" s="112"/>
    </row>
    <row r="93" spans="1:29" x14ac:dyDescent="0.2">
      <c r="A93" s="52"/>
      <c r="B93" s="46" t="s">
        <v>23</v>
      </c>
      <c r="C93" s="47"/>
      <c r="D93" s="53">
        <f>SUM(D91,D88,D75,D58,D40,D35)</f>
        <v>171537</v>
      </c>
      <c r="E93" s="53">
        <f>SUM(E91,E88,E75,E58,E40,E35)</f>
        <v>171537</v>
      </c>
      <c r="F93" s="53">
        <f>SUM(F91,F88,F75,F58,F40,F35)</f>
        <v>145930</v>
      </c>
      <c r="G93" s="53">
        <f>SUM(G91,G88,G75,G58,G40,G35)</f>
        <v>109762.16999999998</v>
      </c>
      <c r="H93" s="53"/>
      <c r="I93" s="53">
        <f t="shared" ref="I93:N93" si="7">SUM(I91,I88,I75,I58,I40,I35)</f>
        <v>1722554</v>
      </c>
      <c r="J93" s="53">
        <f t="shared" si="7"/>
        <v>1735250</v>
      </c>
      <c r="K93" s="53">
        <f t="shared" si="7"/>
        <v>1771150.08</v>
      </c>
      <c r="L93" s="53">
        <f t="shared" si="7"/>
        <v>1771150.08</v>
      </c>
      <c r="M93" s="53">
        <f t="shared" si="7"/>
        <v>1771150.08</v>
      </c>
      <c r="N93" s="53">
        <f t="shared" si="7"/>
        <v>1771150.08</v>
      </c>
      <c r="O93" s="53"/>
      <c r="P93" s="53">
        <f>SUM(P91,P88,P75,P58,P40,P35)</f>
        <v>1721009</v>
      </c>
      <c r="Q93" s="53">
        <f>SUM(Q91,Q88,Q75,Q58,Q40,Q35)</f>
        <v>1708297</v>
      </c>
      <c r="R93" s="53">
        <f>SUM(R91,R88,R75,R58,R40,R35)</f>
        <v>1708297</v>
      </c>
      <c r="S93" s="53">
        <f>SUM(S91,S88,S75,S58,S40,S35)</f>
        <v>1708297</v>
      </c>
      <c r="T93" s="53">
        <f>SUM(T91,T88,T75,T58,T40,T35)</f>
        <v>1858264.23</v>
      </c>
      <c r="U93" s="53"/>
      <c r="V93" s="53">
        <f>SUM(V91,V88,V75,V58,V40,V35)</f>
        <v>1718693</v>
      </c>
      <c r="W93" s="53">
        <f>SUM(W91,W88,W75,W58,W40,W35)</f>
        <v>1705998</v>
      </c>
      <c r="X93" s="53">
        <f>SUM(X91,X88,X75,X58,X40,X35)</f>
        <v>1705998</v>
      </c>
      <c r="Y93" s="53">
        <f>SUM(Y91,Y88,Y75,Y58,Y40,Y35)</f>
        <v>1753818</v>
      </c>
      <c r="Z93" s="53"/>
      <c r="AA93" s="53">
        <f>SUM(AA91,AA88,AA75,AA58,AA40,AA35)</f>
        <v>1083352</v>
      </c>
      <c r="AB93" s="53">
        <f>SUM(AB91,AB88,AB75,AB58,AB40,AB35)</f>
        <v>1075351</v>
      </c>
      <c r="AC93" s="107">
        <f>SUM(AC91,AC88,AC75,AC58,AC40,AC35)</f>
        <v>1145923</v>
      </c>
    </row>
    <row r="94" spans="1:29" x14ac:dyDescent="0.2">
      <c r="A94" s="81"/>
      <c r="B94" s="88" t="s">
        <v>24</v>
      </c>
      <c r="C94" s="82"/>
      <c r="D94" s="89">
        <f>ROUNDUP(D93*0.0347,0)</f>
        <v>5953</v>
      </c>
      <c r="E94" s="89">
        <v>5953</v>
      </c>
      <c r="F94" s="89">
        <v>5063</v>
      </c>
      <c r="G94" s="89">
        <v>3808.75</v>
      </c>
      <c r="H94" s="53"/>
      <c r="I94" s="89">
        <v>59773</v>
      </c>
      <c r="J94" s="86">
        <f>72496+1078</f>
        <v>73574</v>
      </c>
      <c r="K94" s="86">
        <v>75096</v>
      </c>
      <c r="L94" s="86">
        <v>75096</v>
      </c>
      <c r="M94" s="86">
        <v>75096</v>
      </c>
      <c r="N94" s="86">
        <v>75096</v>
      </c>
      <c r="O94" s="53"/>
      <c r="P94" s="89">
        <v>59719</v>
      </c>
      <c r="Q94" s="86">
        <v>72431</v>
      </c>
      <c r="R94" s="86">
        <v>72431</v>
      </c>
      <c r="S94" s="86">
        <v>72431</v>
      </c>
      <c r="T94" s="86">
        <f>ROUNDDOWN(T93*0.0511,0)</f>
        <v>94957</v>
      </c>
      <c r="U94" s="53"/>
      <c r="V94" s="89">
        <v>59639</v>
      </c>
      <c r="W94" s="86">
        <v>72334</v>
      </c>
      <c r="X94" s="86">
        <v>72334</v>
      </c>
      <c r="Y94" s="86">
        <f>ROUNDDOWN(Y93*0.0511,0)</f>
        <v>89620</v>
      </c>
      <c r="Z94" s="53"/>
      <c r="AA94" s="89">
        <v>37593</v>
      </c>
      <c r="AB94" s="86">
        <v>45594</v>
      </c>
      <c r="AC94" s="263">
        <f>ROUNDDOWN(AC93*0.0511,0)</f>
        <v>58556</v>
      </c>
    </row>
    <row r="95" spans="1:29" x14ac:dyDescent="0.2">
      <c r="A95" s="52"/>
      <c r="B95" s="46" t="s">
        <v>25</v>
      </c>
      <c r="C95" s="47" t="s">
        <v>26</v>
      </c>
      <c r="D95" s="53">
        <f>D94</f>
        <v>5953</v>
      </c>
      <c r="E95" s="53">
        <f>E94</f>
        <v>5953</v>
      </c>
      <c r="F95" s="53">
        <f>F94</f>
        <v>5063</v>
      </c>
      <c r="G95" s="53">
        <f>G94</f>
        <v>3808.75</v>
      </c>
      <c r="H95" s="53"/>
      <c r="I95" s="53">
        <f t="shared" ref="I95:N95" si="8">I94</f>
        <v>59773</v>
      </c>
      <c r="J95" s="53">
        <f t="shared" si="8"/>
        <v>73574</v>
      </c>
      <c r="K95" s="53">
        <f t="shared" si="8"/>
        <v>75096</v>
      </c>
      <c r="L95" s="53">
        <f t="shared" si="8"/>
        <v>75096</v>
      </c>
      <c r="M95" s="53">
        <f t="shared" si="8"/>
        <v>75096</v>
      </c>
      <c r="N95" s="53">
        <f t="shared" si="8"/>
        <v>75096</v>
      </c>
      <c r="O95" s="53"/>
      <c r="P95" s="53">
        <f>P94</f>
        <v>59719</v>
      </c>
      <c r="Q95" s="53">
        <f>Q94</f>
        <v>72431</v>
      </c>
      <c r="R95" s="53">
        <f>R94</f>
        <v>72431</v>
      </c>
      <c r="S95" s="53">
        <f>S94</f>
        <v>72431</v>
      </c>
      <c r="T95" s="53">
        <f>T94</f>
        <v>94957</v>
      </c>
      <c r="U95" s="53"/>
      <c r="V95" s="53">
        <f>V94</f>
        <v>59639</v>
      </c>
      <c r="W95" s="53">
        <f>W94</f>
        <v>72334</v>
      </c>
      <c r="X95" s="53">
        <f>X94</f>
        <v>72334</v>
      </c>
      <c r="Y95" s="53">
        <f>Y94</f>
        <v>89620</v>
      </c>
      <c r="Z95" s="53"/>
      <c r="AA95" s="53">
        <f>AA94</f>
        <v>37593</v>
      </c>
      <c r="AB95" s="53">
        <f>AB94</f>
        <v>45594</v>
      </c>
      <c r="AC95" s="107">
        <f>AC94</f>
        <v>58556</v>
      </c>
    </row>
    <row r="96" spans="1:29" ht="16.5" thickBot="1" x14ac:dyDescent="0.25">
      <c r="A96" s="90"/>
      <c r="B96" s="91" t="s">
        <v>27</v>
      </c>
      <c r="C96" s="92"/>
      <c r="D96" s="93">
        <f>SUM(D93+D95)</f>
        <v>177490</v>
      </c>
      <c r="E96" s="93">
        <f>SUM(E93+E95)</f>
        <v>177490</v>
      </c>
      <c r="F96" s="93">
        <f>SUM(F93+F95)</f>
        <v>150993</v>
      </c>
      <c r="G96" s="93">
        <f>SUM(G93+G95)</f>
        <v>113570.91999999998</v>
      </c>
      <c r="H96" s="93"/>
      <c r="I96" s="93">
        <f t="shared" ref="I96:N96" si="9">SUM(I93+I95)</f>
        <v>1782327</v>
      </c>
      <c r="J96" s="93">
        <f t="shared" si="9"/>
        <v>1808824</v>
      </c>
      <c r="K96" s="93">
        <f t="shared" si="9"/>
        <v>1846246.08</v>
      </c>
      <c r="L96" s="93">
        <f t="shared" si="9"/>
        <v>1846246.08</v>
      </c>
      <c r="M96" s="93">
        <f t="shared" si="9"/>
        <v>1846246.08</v>
      </c>
      <c r="N96" s="93">
        <f t="shared" si="9"/>
        <v>1846246.08</v>
      </c>
      <c r="O96" s="93"/>
      <c r="P96" s="93">
        <f>SUM(P93+P95)</f>
        <v>1780728</v>
      </c>
      <c r="Q96" s="93">
        <f>SUM(Q93+Q95)</f>
        <v>1780728</v>
      </c>
      <c r="R96" s="93">
        <f>SUM(R93+R95)</f>
        <v>1780728</v>
      </c>
      <c r="S96" s="93">
        <f>SUM(S93+S95)</f>
        <v>1780728</v>
      </c>
      <c r="T96" s="93">
        <f>SUM(T93+T95)</f>
        <v>1953221.23</v>
      </c>
      <c r="U96" s="93"/>
      <c r="V96" s="93">
        <f>SUM(V93+V95)</f>
        <v>1778332</v>
      </c>
      <c r="W96" s="93">
        <f>SUM(W93+W95)</f>
        <v>1778332</v>
      </c>
      <c r="X96" s="93">
        <f>SUM(X93+X95)</f>
        <v>1778332</v>
      </c>
      <c r="Y96" s="93">
        <f>SUM(Y93+Y95)</f>
        <v>1843438</v>
      </c>
      <c r="Z96" s="93"/>
      <c r="AA96" s="93">
        <f>SUM(AA93+AA95)</f>
        <v>1120945</v>
      </c>
      <c r="AB96" s="93">
        <f>SUM(AB93+AB95)</f>
        <v>1120945</v>
      </c>
      <c r="AC96" s="113">
        <f>SUM(AC93+AC95)</f>
        <v>1204479</v>
      </c>
    </row>
    <row r="97" spans="2:29" x14ac:dyDescent="0.2">
      <c r="C97" s="96"/>
      <c r="H97" s="97"/>
    </row>
    <row r="98" spans="2:29" x14ac:dyDescent="0.2">
      <c r="B98" s="99"/>
      <c r="C98" s="96"/>
      <c r="H98" s="97"/>
    </row>
    <row r="99" spans="2:29" x14ac:dyDescent="0.2">
      <c r="B99" s="99"/>
      <c r="C99" s="96"/>
      <c r="D99" s="94" t="s">
        <v>124</v>
      </c>
      <c r="E99" s="100">
        <f>E96-D96</f>
        <v>0</v>
      </c>
      <c r="F99" s="100">
        <f>F96-E96+26497</f>
        <v>0</v>
      </c>
      <c r="G99" s="100">
        <f>G96-113570.92</f>
        <v>0</v>
      </c>
      <c r="H99" s="94"/>
      <c r="J99" s="100"/>
      <c r="K99" s="147"/>
      <c r="L99" s="147">
        <v>63919.08</v>
      </c>
      <c r="M99" s="147">
        <v>63919.08</v>
      </c>
      <c r="N99" s="147">
        <v>63919.08</v>
      </c>
      <c r="O99" s="94"/>
      <c r="P99" s="94" t="s">
        <v>124</v>
      </c>
      <c r="Q99" s="100">
        <f>Q96-P96</f>
        <v>0</v>
      </c>
      <c r="R99" s="100">
        <f>1780728-R96</f>
        <v>0</v>
      </c>
      <c r="S99" s="100">
        <f>1780728-S96</f>
        <v>0</v>
      </c>
      <c r="T99" s="100">
        <f>1780728+154063.83+18429.4-T96</f>
        <v>0</v>
      </c>
      <c r="U99" s="94"/>
      <c r="V99" s="94" t="s">
        <v>124</v>
      </c>
      <c r="W99" s="100">
        <f>W96-V96</f>
        <v>0</v>
      </c>
      <c r="X99" s="100">
        <f>X96-W96</f>
        <v>0</v>
      </c>
      <c r="Y99" s="100">
        <f>1778332+65106-Y96</f>
        <v>0</v>
      </c>
      <c r="Z99" s="94"/>
      <c r="AA99" s="94" t="s">
        <v>124</v>
      </c>
      <c r="AB99" s="100">
        <f>AB96-AA96</f>
        <v>0</v>
      </c>
      <c r="AC99" s="100">
        <f>1120945+83534-AC96</f>
        <v>0</v>
      </c>
    </row>
    <row r="100" spans="2:29" ht="17.25" x14ac:dyDescent="0.2">
      <c r="B100" s="99"/>
      <c r="C100" s="96"/>
      <c r="H100" s="94"/>
      <c r="K100" s="145"/>
      <c r="L100" s="145">
        <v>1782327</v>
      </c>
      <c r="M100" s="145">
        <v>1782327</v>
      </c>
      <c r="N100" s="145">
        <v>1782327</v>
      </c>
      <c r="O100" s="94"/>
      <c r="U100" s="94"/>
      <c r="Y100" s="245"/>
      <c r="Z100" s="94"/>
    </row>
    <row r="101" spans="2:29" x14ac:dyDescent="0.2">
      <c r="B101" s="99"/>
      <c r="C101" s="96"/>
      <c r="H101" s="94"/>
      <c r="K101" s="147"/>
      <c r="L101" s="147">
        <f>SUM(L99:L100)</f>
        <v>1846246.08</v>
      </c>
      <c r="M101" s="147">
        <f>SUM(M99:M100)</f>
        <v>1846246.08</v>
      </c>
      <c r="N101" s="147">
        <f>SUM(N99:N100)</f>
        <v>1846246.08</v>
      </c>
      <c r="O101" s="94"/>
      <c r="S101" s="94" t="s">
        <v>246</v>
      </c>
      <c r="T101" s="147">
        <v>154063.82999999999</v>
      </c>
      <c r="U101" s="94"/>
      <c r="X101" s="94" t="s">
        <v>216</v>
      </c>
      <c r="Y101" s="147">
        <v>1778332</v>
      </c>
      <c r="AB101" s="94" t="s">
        <v>217</v>
      </c>
      <c r="AC101" s="147">
        <v>1120945</v>
      </c>
    </row>
    <row r="102" spans="2:29" ht="17.25" x14ac:dyDescent="0.2">
      <c r="C102" s="96"/>
      <c r="H102" s="94"/>
      <c r="I102" s="114"/>
      <c r="J102" s="100"/>
      <c r="K102" s="100"/>
      <c r="L102" s="100"/>
      <c r="M102" s="100"/>
      <c r="N102" s="100"/>
      <c r="O102" s="94"/>
      <c r="S102" s="94" t="s">
        <v>207</v>
      </c>
      <c r="T102" s="147">
        <v>18429.400000000001</v>
      </c>
      <c r="U102" s="94"/>
      <c r="X102" s="94" t="s">
        <v>207</v>
      </c>
      <c r="Y102" s="145">
        <v>65106</v>
      </c>
      <c r="Z102" s="94"/>
      <c r="AB102" s="94" t="s">
        <v>207</v>
      </c>
      <c r="AC102" s="145">
        <v>83534</v>
      </c>
    </row>
    <row r="103" spans="2:29" ht="17.25" x14ac:dyDescent="0.2">
      <c r="C103" s="96"/>
      <c r="H103" s="94"/>
      <c r="K103" s="100"/>
      <c r="L103" s="100">
        <f>L101-L96</f>
        <v>0</v>
      </c>
      <c r="M103" s="100">
        <f>M101-M96</f>
        <v>0</v>
      </c>
      <c r="N103" s="100">
        <f>N101-N96</f>
        <v>0</v>
      </c>
      <c r="O103" s="94"/>
      <c r="S103" s="94" t="s">
        <v>206</v>
      </c>
      <c r="T103" s="145">
        <v>1780728</v>
      </c>
      <c r="U103" s="94"/>
      <c r="Y103" s="147">
        <f>SUM(Y101:Y102)</f>
        <v>1843438</v>
      </c>
      <c r="Z103" s="94"/>
      <c r="AC103" s="147">
        <f>SUM(AC101:AC102)</f>
        <v>1204479</v>
      </c>
    </row>
    <row r="104" spans="2:29" x14ac:dyDescent="0.2">
      <c r="C104" s="96"/>
      <c r="H104" s="94"/>
      <c r="O104" s="94"/>
      <c r="T104" s="100">
        <f>SUM(T101:T103)</f>
        <v>1953221.23</v>
      </c>
      <c r="U104" s="94"/>
      <c r="Z104" s="94"/>
    </row>
    <row r="105" spans="2:29" x14ac:dyDescent="0.2">
      <c r="C105" s="96"/>
      <c r="H105" s="94"/>
      <c r="O105" s="94"/>
      <c r="U105" s="94"/>
      <c r="Z105" s="94"/>
    </row>
    <row r="106" spans="2:29" x14ac:dyDescent="0.2">
      <c r="C106" s="96"/>
      <c r="H106" s="94"/>
      <c r="O106" s="94"/>
      <c r="U106" s="94"/>
      <c r="Z106" s="94"/>
      <c r="AC106" s="249"/>
    </row>
    <row r="107" spans="2:29" x14ac:dyDescent="0.2">
      <c r="C107" s="96"/>
      <c r="H107" s="94"/>
      <c r="O107" s="94"/>
      <c r="T107" s="100"/>
      <c r="U107" s="94"/>
      <c r="Z107" s="94"/>
    </row>
    <row r="108" spans="2:29" x14ac:dyDescent="0.2">
      <c r="C108" s="96"/>
      <c r="H108" s="94"/>
      <c r="O108" s="94"/>
      <c r="U108" s="94"/>
      <c r="Z108" s="94"/>
    </row>
    <row r="109" spans="2:29" x14ac:dyDescent="0.2">
      <c r="C109" s="96"/>
      <c r="H109" s="94"/>
      <c r="O109" s="94"/>
      <c r="U109" s="94"/>
      <c r="Z109" s="94"/>
    </row>
    <row r="110" spans="2:29" x14ac:dyDescent="0.2">
      <c r="C110" s="96"/>
      <c r="H110" s="94"/>
      <c r="O110" s="94"/>
      <c r="U110" s="94"/>
      <c r="Y110" s="100"/>
      <c r="Z110" s="94"/>
      <c r="AC110" s="100"/>
    </row>
    <row r="111" spans="2:29" x14ac:dyDescent="0.2">
      <c r="C111" s="96"/>
      <c r="H111" s="94"/>
      <c r="O111" s="94"/>
      <c r="U111" s="94"/>
      <c r="Z111" s="94"/>
    </row>
    <row r="112" spans="2:29" x14ac:dyDescent="0.2">
      <c r="C112" s="96"/>
      <c r="H112" s="94"/>
      <c r="O112" s="94"/>
      <c r="U112" s="94"/>
      <c r="Z112" s="94"/>
    </row>
    <row r="113" spans="3:29" x14ac:dyDescent="0.2">
      <c r="C113" s="96"/>
      <c r="H113" s="94"/>
      <c r="O113" s="94"/>
      <c r="U113" s="94"/>
      <c r="Y113" s="147"/>
      <c r="Z113" s="94"/>
      <c r="AC113" s="249"/>
    </row>
    <row r="114" spans="3:29" x14ac:dyDescent="0.2">
      <c r="C114" s="96"/>
      <c r="H114" s="94"/>
      <c r="O114" s="94"/>
      <c r="U114" s="94"/>
      <c r="Z114" s="94"/>
    </row>
    <row r="115" spans="3:29" x14ac:dyDescent="0.2">
      <c r="C115" s="96"/>
      <c r="H115" s="94"/>
      <c r="O115" s="94"/>
      <c r="U115" s="94"/>
      <c r="Z115" s="94"/>
      <c r="AC115" s="100"/>
    </row>
    <row r="116" spans="3:29" x14ac:dyDescent="0.2">
      <c r="C116" s="96"/>
      <c r="H116" s="94"/>
      <c r="O116" s="94"/>
      <c r="U116" s="94"/>
      <c r="Z116" s="94"/>
    </row>
    <row r="117" spans="3:29" x14ac:dyDescent="0.2">
      <c r="C117" s="96"/>
      <c r="H117" s="94"/>
      <c r="O117" s="94"/>
      <c r="U117" s="94"/>
      <c r="Z117" s="94"/>
    </row>
    <row r="118" spans="3:29" ht="17.25" x14ac:dyDescent="0.2">
      <c r="C118" s="96"/>
      <c r="H118" s="94"/>
      <c r="O118" s="94"/>
      <c r="U118" s="94"/>
      <c r="Y118" s="244"/>
      <c r="Z118" s="94"/>
    </row>
    <row r="119" spans="3:29" x14ac:dyDescent="0.2">
      <c r="C119" s="96"/>
      <c r="H119" s="94"/>
      <c r="O119" s="94"/>
      <c r="U119" s="94"/>
      <c r="Y119" s="100"/>
      <c r="Z119" s="94"/>
    </row>
    <row r="120" spans="3:29" x14ac:dyDescent="0.2">
      <c r="C120" s="96"/>
      <c r="H120" s="94"/>
      <c r="O120" s="94"/>
      <c r="U120" s="94"/>
      <c r="Z120" s="94"/>
    </row>
    <row r="121" spans="3:29" x14ac:dyDescent="0.2">
      <c r="C121" s="96"/>
      <c r="H121" s="94"/>
      <c r="O121" s="94"/>
      <c r="U121" s="94"/>
      <c r="Y121" s="100"/>
      <c r="Z121" s="94"/>
    </row>
    <row r="122" spans="3:29" x14ac:dyDescent="0.2">
      <c r="C122" s="96"/>
      <c r="H122" s="94"/>
      <c r="O122" s="94"/>
      <c r="U122" s="94"/>
      <c r="Z122" s="94"/>
    </row>
    <row r="123" spans="3:29" x14ac:dyDescent="0.2">
      <c r="C123" s="96"/>
      <c r="H123" s="94"/>
      <c r="O123" s="94"/>
      <c r="U123" s="94"/>
      <c r="Z123" s="94"/>
    </row>
    <row r="124" spans="3:29" x14ac:dyDescent="0.2">
      <c r="C124" s="96"/>
      <c r="H124" s="94"/>
      <c r="O124" s="94"/>
      <c r="U124" s="94"/>
      <c r="Z124" s="94"/>
    </row>
    <row r="125" spans="3:29" x14ac:dyDescent="0.2">
      <c r="C125" s="96"/>
      <c r="H125" s="94"/>
      <c r="O125" s="94"/>
      <c r="U125" s="94"/>
      <c r="Z125" s="94"/>
    </row>
    <row r="126" spans="3:29" x14ac:dyDescent="0.2">
      <c r="C126" s="96"/>
      <c r="H126" s="94"/>
      <c r="O126" s="94"/>
      <c r="U126" s="94"/>
      <c r="Z126" s="94"/>
    </row>
    <row r="127" spans="3:29" x14ac:dyDescent="0.2">
      <c r="C127" s="96"/>
      <c r="H127" s="94"/>
      <c r="O127" s="94"/>
      <c r="U127" s="94"/>
      <c r="Z127" s="94"/>
    </row>
    <row r="128" spans="3:29" x14ac:dyDescent="0.2">
      <c r="C128" s="96"/>
      <c r="H128" s="94"/>
      <c r="O128" s="94"/>
      <c r="U128" s="94"/>
      <c r="Z128" s="94"/>
    </row>
    <row r="129" spans="2:29" ht="15" x14ac:dyDescent="0.2">
      <c r="C129" s="94"/>
      <c r="H129" s="94"/>
      <c r="O129" s="94"/>
      <c r="U129" s="94"/>
      <c r="V129" s="21"/>
      <c r="W129" s="21"/>
      <c r="X129" s="21"/>
      <c r="Y129" s="21"/>
      <c r="Z129" s="21"/>
      <c r="AA129" s="21"/>
      <c r="AB129" s="21"/>
      <c r="AC129" s="21"/>
    </row>
    <row r="130" spans="2:29" ht="15" x14ac:dyDescent="0.2">
      <c r="B130" s="101"/>
      <c r="C130" s="94"/>
      <c r="H130" s="94"/>
      <c r="O130" s="94"/>
      <c r="U130" s="94"/>
      <c r="V130" s="21"/>
      <c r="W130" s="21"/>
      <c r="X130" s="21"/>
      <c r="Y130" s="21"/>
      <c r="Z130" s="21"/>
      <c r="AA130" s="21"/>
      <c r="AB130" s="21"/>
      <c r="AC130" s="21"/>
    </row>
    <row r="131" spans="2:29" ht="15" x14ac:dyDescent="0.2">
      <c r="B131" s="101"/>
      <c r="C131" s="94"/>
      <c r="H131" s="94"/>
      <c r="O131" s="94"/>
      <c r="U131" s="94"/>
      <c r="V131" s="21"/>
      <c r="W131" s="21"/>
      <c r="X131" s="21"/>
      <c r="Y131" s="21"/>
      <c r="Z131" s="21"/>
      <c r="AA131" s="21"/>
      <c r="AB131" s="21"/>
      <c r="AC131" s="21"/>
    </row>
    <row r="132" spans="2:29" ht="15" x14ac:dyDescent="0.2">
      <c r="B132" s="101"/>
      <c r="C132" s="94"/>
      <c r="H132" s="94"/>
      <c r="O132" s="94"/>
      <c r="U132" s="94"/>
      <c r="V132" s="21"/>
      <c r="W132" s="21"/>
      <c r="X132" s="21"/>
      <c r="Y132" s="21"/>
      <c r="Z132" s="21"/>
      <c r="AA132" s="21"/>
      <c r="AB132" s="21"/>
      <c r="AC132" s="21"/>
    </row>
    <row r="133" spans="2:29" ht="15" x14ac:dyDescent="0.2">
      <c r="B133" s="101"/>
      <c r="C133" s="94"/>
      <c r="H133" s="94"/>
      <c r="O133" s="94"/>
      <c r="U133" s="94"/>
      <c r="V133" s="21"/>
      <c r="W133" s="21"/>
      <c r="X133" s="21"/>
      <c r="Y133" s="21"/>
      <c r="Z133" s="21"/>
      <c r="AA133" s="21"/>
      <c r="AB133" s="21"/>
      <c r="AC133" s="21"/>
    </row>
    <row r="134" spans="2:29" ht="15" x14ac:dyDescent="0.2">
      <c r="B134" s="101"/>
      <c r="C134" s="94"/>
      <c r="H134" s="94"/>
      <c r="O134" s="94"/>
      <c r="U134" s="94"/>
      <c r="V134" s="21"/>
      <c r="W134" s="21"/>
      <c r="X134" s="21"/>
      <c r="Y134" s="21"/>
      <c r="Z134" s="21"/>
      <c r="AA134" s="21"/>
      <c r="AB134" s="21"/>
      <c r="AC134" s="21"/>
    </row>
    <row r="135" spans="2:29" ht="15" x14ac:dyDescent="0.2">
      <c r="B135" s="101"/>
      <c r="C135" s="94"/>
      <c r="H135" s="94"/>
      <c r="O135" s="94"/>
      <c r="U135" s="94"/>
      <c r="V135" s="21"/>
      <c r="W135" s="21"/>
      <c r="X135" s="21"/>
      <c r="Y135" s="21"/>
      <c r="Z135" s="21"/>
      <c r="AA135" s="21"/>
      <c r="AB135" s="21"/>
      <c r="AC135" s="21"/>
    </row>
    <row r="136" spans="2:29" ht="15" x14ac:dyDescent="0.2">
      <c r="B136" s="101"/>
      <c r="C136" s="94"/>
      <c r="H136" s="94"/>
      <c r="O136" s="94"/>
      <c r="U136" s="94"/>
      <c r="V136" s="21"/>
      <c r="W136" s="21"/>
      <c r="X136" s="21"/>
      <c r="Y136" s="21"/>
      <c r="Z136" s="21"/>
      <c r="AA136" s="21"/>
      <c r="AB136" s="21"/>
      <c r="AC136" s="21"/>
    </row>
    <row r="137" spans="2:29" ht="15" x14ac:dyDescent="0.2">
      <c r="B137" s="101"/>
      <c r="C137" s="94"/>
      <c r="H137" s="94"/>
      <c r="O137" s="94"/>
      <c r="U137" s="94"/>
      <c r="V137" s="21"/>
      <c r="W137" s="21"/>
      <c r="X137" s="21"/>
      <c r="Y137" s="21"/>
      <c r="Z137" s="21"/>
      <c r="AA137" s="21"/>
      <c r="AB137" s="21"/>
      <c r="AC137" s="21"/>
    </row>
    <row r="138" spans="2:29" ht="15" x14ac:dyDescent="0.2">
      <c r="B138" s="101"/>
      <c r="C138" s="94"/>
      <c r="H138" s="94"/>
      <c r="O138" s="94"/>
      <c r="U138" s="94"/>
      <c r="V138" s="21"/>
      <c r="W138" s="21"/>
      <c r="X138" s="21"/>
      <c r="Y138" s="21"/>
      <c r="Z138" s="21"/>
      <c r="AA138" s="21"/>
      <c r="AB138" s="21"/>
      <c r="AC138" s="21"/>
    </row>
    <row r="139" spans="2:29" ht="15" x14ac:dyDescent="0.2">
      <c r="B139" s="101"/>
      <c r="C139" s="94"/>
      <c r="H139" s="94"/>
      <c r="O139" s="94"/>
      <c r="U139" s="94"/>
      <c r="V139" s="21"/>
      <c r="W139" s="21"/>
      <c r="X139" s="21"/>
      <c r="Y139" s="21"/>
      <c r="Z139" s="21"/>
      <c r="AA139" s="21"/>
      <c r="AB139" s="21"/>
      <c r="AC139" s="21"/>
    </row>
    <row r="140" spans="2:29" x14ac:dyDescent="0.2">
      <c r="B140" s="101"/>
      <c r="C140" s="96"/>
      <c r="H140" s="94"/>
      <c r="O140" s="94"/>
      <c r="U140" s="94"/>
      <c r="Z140" s="94"/>
    </row>
    <row r="141" spans="2:29" x14ac:dyDescent="0.2">
      <c r="C141" s="96"/>
      <c r="H141" s="94"/>
      <c r="O141" s="94"/>
      <c r="U141" s="94"/>
      <c r="Z141" s="94"/>
    </row>
    <row r="142" spans="2:29" x14ac:dyDescent="0.2">
      <c r="C142" s="96"/>
      <c r="H142" s="94"/>
      <c r="O142" s="94"/>
      <c r="U142" s="94"/>
      <c r="Z142" s="94"/>
    </row>
    <row r="143" spans="2:29" x14ac:dyDescent="0.2">
      <c r="C143" s="96"/>
      <c r="H143" s="94"/>
      <c r="O143" s="94"/>
      <c r="U143" s="94"/>
      <c r="Z143" s="94"/>
    </row>
    <row r="144" spans="2:29" x14ac:dyDescent="0.2">
      <c r="C144" s="96"/>
      <c r="H144" s="94"/>
      <c r="O144" s="94"/>
      <c r="U144" s="94"/>
      <c r="Z144" s="94"/>
    </row>
    <row r="145" spans="3:26" x14ac:dyDescent="0.2">
      <c r="C145" s="96"/>
      <c r="H145" s="94"/>
      <c r="O145" s="94"/>
      <c r="U145" s="94"/>
      <c r="Z145" s="94"/>
    </row>
    <row r="146" spans="3:26" x14ac:dyDescent="0.2">
      <c r="C146" s="96"/>
      <c r="H146" s="94"/>
      <c r="O146" s="94"/>
      <c r="U146" s="94"/>
      <c r="Z146" s="94"/>
    </row>
    <row r="147" spans="3:26" x14ac:dyDescent="0.2">
      <c r="C147" s="96"/>
      <c r="H147" s="94"/>
      <c r="O147" s="94"/>
      <c r="U147" s="94"/>
      <c r="Z147" s="94"/>
    </row>
    <row r="148" spans="3:26" x14ac:dyDescent="0.2">
      <c r="C148" s="96"/>
      <c r="H148" s="94"/>
      <c r="O148" s="94"/>
      <c r="U148" s="94"/>
      <c r="Z148" s="94"/>
    </row>
    <row r="149" spans="3:26" x14ac:dyDescent="0.2">
      <c r="C149" s="96"/>
      <c r="H149" s="94"/>
      <c r="O149" s="94"/>
      <c r="U149" s="94"/>
      <c r="Z149" s="94"/>
    </row>
    <row r="150" spans="3:26" x14ac:dyDescent="0.2">
      <c r="C150" s="96"/>
      <c r="H150" s="94"/>
      <c r="O150" s="94"/>
      <c r="U150" s="94"/>
      <c r="Z150" s="94"/>
    </row>
    <row r="151" spans="3:26" x14ac:dyDescent="0.2">
      <c r="C151" s="96"/>
      <c r="H151" s="94"/>
      <c r="O151" s="94"/>
      <c r="U151" s="94"/>
      <c r="Z151" s="94"/>
    </row>
    <row r="152" spans="3:26" x14ac:dyDescent="0.2">
      <c r="C152" s="96"/>
      <c r="H152" s="94"/>
      <c r="O152" s="94"/>
      <c r="U152" s="94"/>
      <c r="Z152" s="94"/>
    </row>
    <row r="153" spans="3:26" x14ac:dyDescent="0.2">
      <c r="C153" s="96"/>
      <c r="H153" s="94"/>
      <c r="O153" s="94"/>
      <c r="U153" s="94"/>
      <c r="Z153" s="94"/>
    </row>
    <row r="154" spans="3:26" x14ac:dyDescent="0.2">
      <c r="C154" s="96"/>
      <c r="H154" s="94"/>
      <c r="O154" s="94"/>
      <c r="U154" s="94"/>
      <c r="Z154" s="94"/>
    </row>
    <row r="155" spans="3:26" x14ac:dyDescent="0.2">
      <c r="C155" s="96"/>
      <c r="H155" s="94"/>
      <c r="O155" s="94"/>
      <c r="U155" s="94"/>
      <c r="Z155" s="94"/>
    </row>
    <row r="156" spans="3:26" x14ac:dyDescent="0.2">
      <c r="C156" s="96"/>
      <c r="H156" s="94"/>
      <c r="O156" s="94"/>
      <c r="U156" s="94"/>
      <c r="Z156" s="94"/>
    </row>
    <row r="157" spans="3:26" x14ac:dyDescent="0.2">
      <c r="C157" s="96"/>
      <c r="H157" s="94"/>
      <c r="O157" s="94"/>
      <c r="U157" s="94"/>
      <c r="Z157" s="94"/>
    </row>
    <row r="158" spans="3:26" x14ac:dyDescent="0.2">
      <c r="C158" s="96"/>
      <c r="H158" s="94"/>
      <c r="O158" s="94"/>
      <c r="U158" s="94"/>
      <c r="Z158" s="94"/>
    </row>
    <row r="159" spans="3:26" x14ac:dyDescent="0.2">
      <c r="C159" s="96"/>
      <c r="H159" s="94"/>
      <c r="O159" s="94"/>
      <c r="U159" s="94"/>
      <c r="Z159" s="94"/>
    </row>
    <row r="160" spans="3:26" x14ac:dyDescent="0.2">
      <c r="C160" s="96"/>
      <c r="H160" s="94"/>
      <c r="O160" s="94"/>
      <c r="U160" s="94"/>
      <c r="Z160" s="94"/>
    </row>
    <row r="161" spans="3:26" x14ac:dyDescent="0.2">
      <c r="C161" s="96"/>
      <c r="H161" s="94"/>
      <c r="O161" s="94"/>
      <c r="U161" s="94"/>
      <c r="Z161" s="94"/>
    </row>
    <row r="162" spans="3:26" x14ac:dyDescent="0.2">
      <c r="C162" s="96"/>
      <c r="H162" s="94"/>
      <c r="O162" s="94"/>
      <c r="U162" s="94"/>
      <c r="Z162" s="94"/>
    </row>
    <row r="163" spans="3:26" x14ac:dyDescent="0.2">
      <c r="C163" s="96"/>
      <c r="H163" s="94"/>
      <c r="O163" s="94"/>
      <c r="U163" s="94"/>
      <c r="Z163" s="94"/>
    </row>
    <row r="164" spans="3:26" x14ac:dyDescent="0.2">
      <c r="C164" s="96"/>
      <c r="H164" s="94"/>
      <c r="O164" s="94"/>
      <c r="U164" s="94"/>
      <c r="Z164" s="94"/>
    </row>
    <row r="165" spans="3:26" x14ac:dyDescent="0.2">
      <c r="C165" s="96"/>
      <c r="H165" s="94"/>
      <c r="O165" s="94"/>
      <c r="U165" s="94"/>
      <c r="Z165" s="94"/>
    </row>
    <row r="166" spans="3:26" x14ac:dyDescent="0.2">
      <c r="C166" s="96"/>
      <c r="H166" s="94"/>
      <c r="O166" s="94"/>
      <c r="U166" s="94"/>
      <c r="Z166" s="94"/>
    </row>
    <row r="167" spans="3:26" x14ac:dyDescent="0.2">
      <c r="C167" s="96"/>
      <c r="H167" s="94"/>
      <c r="O167" s="94"/>
      <c r="U167" s="94"/>
      <c r="Z167" s="94"/>
    </row>
    <row r="168" spans="3:26" x14ac:dyDescent="0.2">
      <c r="C168" s="96"/>
      <c r="H168" s="94"/>
      <c r="O168" s="94"/>
      <c r="U168" s="94"/>
      <c r="Z168" s="94"/>
    </row>
    <row r="169" spans="3:26" x14ac:dyDescent="0.2">
      <c r="C169" s="96"/>
      <c r="H169" s="94"/>
      <c r="O169" s="94"/>
      <c r="U169" s="94"/>
      <c r="Z169" s="94"/>
    </row>
    <row r="170" spans="3:26" x14ac:dyDescent="0.2">
      <c r="C170" s="96"/>
      <c r="H170" s="94"/>
      <c r="O170" s="94"/>
      <c r="U170" s="94"/>
      <c r="Z170" s="94"/>
    </row>
    <row r="171" spans="3:26" x14ac:dyDescent="0.2">
      <c r="C171" s="96"/>
      <c r="H171" s="94"/>
      <c r="O171" s="94"/>
      <c r="U171" s="94"/>
      <c r="Z171" s="94"/>
    </row>
    <row r="172" spans="3:26" x14ac:dyDescent="0.2">
      <c r="C172" s="96"/>
      <c r="H172" s="94"/>
      <c r="O172" s="94"/>
      <c r="U172" s="94"/>
      <c r="Z172" s="94"/>
    </row>
    <row r="173" spans="3:26" x14ac:dyDescent="0.25">
      <c r="H173" s="94"/>
      <c r="O173" s="94"/>
      <c r="U173" s="94"/>
      <c r="Z173" s="94"/>
    </row>
    <row r="174" spans="3:26" x14ac:dyDescent="0.25">
      <c r="H174" s="94"/>
      <c r="O174" s="94"/>
      <c r="U174" s="94"/>
      <c r="Z174" s="94"/>
    </row>
    <row r="175" spans="3:26" x14ac:dyDescent="0.25">
      <c r="H175" s="94"/>
      <c r="O175" s="94"/>
      <c r="U175" s="94"/>
      <c r="Z175" s="94"/>
    </row>
    <row r="176" spans="3:26" x14ac:dyDescent="0.25">
      <c r="H176" s="94"/>
      <c r="O176" s="94"/>
      <c r="U176" s="94"/>
      <c r="Z176" s="94"/>
    </row>
    <row r="177" spans="8:26" x14ac:dyDescent="0.25">
      <c r="H177" s="94"/>
      <c r="O177" s="94"/>
      <c r="U177" s="94"/>
      <c r="Z177" s="94"/>
    </row>
    <row r="178" spans="8:26" x14ac:dyDescent="0.25">
      <c r="H178" s="94"/>
      <c r="O178" s="94"/>
      <c r="U178" s="94"/>
      <c r="Z178" s="94"/>
    </row>
    <row r="179" spans="8:26" x14ac:dyDescent="0.25">
      <c r="H179" s="94"/>
      <c r="O179" s="94"/>
      <c r="U179" s="94"/>
      <c r="Z179" s="94"/>
    </row>
    <row r="180" spans="8:26" x14ac:dyDescent="0.25">
      <c r="H180" s="94"/>
      <c r="O180" s="94"/>
      <c r="U180" s="94"/>
      <c r="Z180" s="94"/>
    </row>
    <row r="181" spans="8:26" x14ac:dyDescent="0.25">
      <c r="H181" s="94"/>
      <c r="O181" s="94"/>
      <c r="U181" s="94"/>
      <c r="Z181" s="94"/>
    </row>
    <row r="182" spans="8:26" x14ac:dyDescent="0.25">
      <c r="H182" s="94"/>
      <c r="O182" s="94"/>
      <c r="U182" s="94"/>
      <c r="Z182" s="94"/>
    </row>
    <row r="183" spans="8:26" x14ac:dyDescent="0.25">
      <c r="H183" s="94"/>
      <c r="O183" s="94"/>
      <c r="U183" s="94"/>
      <c r="Z183" s="94"/>
    </row>
    <row r="184" spans="8:26" x14ac:dyDescent="0.25">
      <c r="H184" s="94"/>
      <c r="O184" s="94"/>
      <c r="U184" s="94"/>
      <c r="Z184" s="94"/>
    </row>
    <row r="185" spans="8:26" x14ac:dyDescent="0.25">
      <c r="H185" s="94"/>
      <c r="O185" s="94"/>
      <c r="U185" s="94"/>
      <c r="Z185" s="94"/>
    </row>
    <row r="186" spans="8:26" x14ac:dyDescent="0.25">
      <c r="H186" s="94"/>
      <c r="O186" s="94"/>
      <c r="U186" s="94"/>
      <c r="Z186" s="94"/>
    </row>
    <row r="187" spans="8:26" x14ac:dyDescent="0.25">
      <c r="H187" s="94"/>
      <c r="O187" s="94"/>
      <c r="U187" s="94"/>
      <c r="Z187" s="94"/>
    </row>
    <row r="188" spans="8:26" x14ac:dyDescent="0.25">
      <c r="H188" s="94"/>
      <c r="O188" s="94"/>
      <c r="U188" s="94"/>
      <c r="Z188" s="94"/>
    </row>
    <row r="189" spans="8:26" x14ac:dyDescent="0.25">
      <c r="H189" s="94"/>
      <c r="O189" s="94"/>
      <c r="U189" s="94"/>
      <c r="Z189" s="94"/>
    </row>
    <row r="190" spans="8:26" x14ac:dyDescent="0.25">
      <c r="H190" s="94"/>
      <c r="O190" s="94"/>
      <c r="U190" s="94"/>
      <c r="Z190" s="94"/>
    </row>
    <row r="191" spans="8:26" x14ac:dyDescent="0.25">
      <c r="H191" s="94"/>
      <c r="O191" s="94"/>
      <c r="U191" s="94"/>
      <c r="Z191" s="94"/>
    </row>
    <row r="192" spans="8:26" x14ac:dyDescent="0.25">
      <c r="H192" s="94"/>
      <c r="O192" s="94"/>
      <c r="U192" s="94"/>
      <c r="Z192" s="94"/>
    </row>
    <row r="193" spans="8:26" x14ac:dyDescent="0.25">
      <c r="H193" s="94"/>
      <c r="O193" s="94"/>
      <c r="U193" s="94"/>
      <c r="Z193" s="94"/>
    </row>
    <row r="194" spans="8:26" x14ac:dyDescent="0.25">
      <c r="H194" s="94"/>
      <c r="O194" s="94"/>
      <c r="U194" s="94"/>
      <c r="Z194" s="94"/>
    </row>
    <row r="195" spans="8:26" x14ac:dyDescent="0.25">
      <c r="H195" s="94"/>
      <c r="O195" s="94"/>
      <c r="U195" s="94"/>
      <c r="Z195" s="94"/>
    </row>
    <row r="196" spans="8:26" x14ac:dyDescent="0.25">
      <c r="H196" s="94"/>
      <c r="O196" s="94"/>
      <c r="U196" s="94"/>
      <c r="Z196" s="94"/>
    </row>
    <row r="197" spans="8:26" x14ac:dyDescent="0.25">
      <c r="H197" s="94"/>
      <c r="O197" s="94"/>
      <c r="U197" s="94"/>
      <c r="Z197" s="94"/>
    </row>
    <row r="198" spans="8:26" x14ac:dyDescent="0.25">
      <c r="H198" s="94"/>
      <c r="O198" s="94"/>
      <c r="U198" s="94"/>
      <c r="Z198" s="94"/>
    </row>
    <row r="199" spans="8:26" x14ac:dyDescent="0.25">
      <c r="H199" s="94"/>
      <c r="O199" s="94"/>
      <c r="U199" s="94"/>
      <c r="Z199" s="94"/>
    </row>
    <row r="200" spans="8:26" x14ac:dyDescent="0.25">
      <c r="H200" s="94"/>
      <c r="O200" s="94"/>
      <c r="U200" s="94"/>
      <c r="Z200" s="94"/>
    </row>
    <row r="201" spans="8:26" x14ac:dyDescent="0.25">
      <c r="H201" s="94"/>
      <c r="O201" s="94"/>
      <c r="U201" s="94"/>
      <c r="Z201" s="94"/>
    </row>
    <row r="202" spans="8:26" x14ac:dyDescent="0.25">
      <c r="H202" s="94"/>
      <c r="O202" s="94"/>
      <c r="U202" s="94"/>
      <c r="Z202" s="94"/>
    </row>
    <row r="203" spans="8:26" x14ac:dyDescent="0.25">
      <c r="H203" s="94"/>
      <c r="O203" s="94"/>
      <c r="U203" s="94"/>
      <c r="Z203" s="94"/>
    </row>
    <row r="204" spans="8:26" x14ac:dyDescent="0.25">
      <c r="H204" s="94"/>
      <c r="O204" s="94"/>
      <c r="U204" s="94"/>
      <c r="Z204" s="94"/>
    </row>
    <row r="205" spans="8:26" x14ac:dyDescent="0.25">
      <c r="H205" s="94"/>
      <c r="O205" s="94"/>
      <c r="U205" s="94"/>
      <c r="Z205" s="94"/>
    </row>
    <row r="206" spans="8:26" x14ac:dyDescent="0.25">
      <c r="H206" s="94"/>
      <c r="O206" s="94"/>
      <c r="U206" s="94"/>
      <c r="Z206" s="94"/>
    </row>
    <row r="207" spans="8:26" x14ac:dyDescent="0.25">
      <c r="H207" s="94"/>
      <c r="O207" s="94"/>
      <c r="U207" s="94"/>
      <c r="Z207" s="94"/>
    </row>
    <row r="208" spans="8:26" x14ac:dyDescent="0.25">
      <c r="H208" s="94"/>
      <c r="O208" s="94"/>
      <c r="U208" s="94"/>
      <c r="Z208" s="94"/>
    </row>
    <row r="209" spans="8:26" x14ac:dyDescent="0.25">
      <c r="H209" s="94"/>
      <c r="O209" s="94"/>
      <c r="U209" s="94"/>
      <c r="Z209" s="94"/>
    </row>
    <row r="210" spans="8:26" x14ac:dyDescent="0.25">
      <c r="H210" s="94"/>
      <c r="O210" s="94"/>
      <c r="U210" s="94"/>
      <c r="Z210" s="94"/>
    </row>
    <row r="211" spans="8:26" x14ac:dyDescent="0.25">
      <c r="H211" s="94"/>
      <c r="O211" s="94"/>
      <c r="U211" s="94"/>
      <c r="Z211" s="94"/>
    </row>
    <row r="212" spans="8:26" x14ac:dyDescent="0.25">
      <c r="H212" s="94"/>
      <c r="O212" s="94"/>
      <c r="U212" s="94"/>
      <c r="Z212" s="94"/>
    </row>
    <row r="213" spans="8:26" x14ac:dyDescent="0.25">
      <c r="H213" s="94"/>
      <c r="O213" s="94"/>
      <c r="U213" s="94"/>
      <c r="Z213" s="94"/>
    </row>
    <row r="214" spans="8:26" x14ac:dyDescent="0.25">
      <c r="H214" s="94"/>
      <c r="O214" s="94"/>
      <c r="U214" s="94"/>
      <c r="Z214" s="94"/>
    </row>
    <row r="215" spans="8:26" x14ac:dyDescent="0.25">
      <c r="H215" s="94"/>
      <c r="O215" s="94"/>
      <c r="U215" s="94"/>
      <c r="Z215" s="94"/>
    </row>
    <row r="216" spans="8:26" x14ac:dyDescent="0.25">
      <c r="H216" s="94"/>
      <c r="O216" s="94"/>
      <c r="U216" s="94"/>
      <c r="Z216" s="94"/>
    </row>
    <row r="217" spans="8:26" x14ac:dyDescent="0.25">
      <c r="H217" s="94"/>
      <c r="O217" s="94"/>
      <c r="U217" s="94"/>
      <c r="Z217" s="94"/>
    </row>
    <row r="218" spans="8:26" x14ac:dyDescent="0.25">
      <c r="H218" s="94"/>
      <c r="O218" s="94"/>
      <c r="U218" s="94"/>
      <c r="Z218" s="94"/>
    </row>
    <row r="219" spans="8:26" x14ac:dyDescent="0.25">
      <c r="H219" s="94"/>
      <c r="O219" s="94"/>
      <c r="U219" s="94"/>
      <c r="Z219" s="94"/>
    </row>
    <row r="220" spans="8:26" x14ac:dyDescent="0.25">
      <c r="H220" s="94"/>
      <c r="O220" s="94"/>
      <c r="U220" s="94"/>
      <c r="Z220" s="94"/>
    </row>
    <row r="221" spans="8:26" x14ac:dyDescent="0.25">
      <c r="H221" s="94"/>
      <c r="O221" s="94"/>
      <c r="U221" s="94"/>
      <c r="Z221" s="94"/>
    </row>
    <row r="222" spans="8:26" x14ac:dyDescent="0.25">
      <c r="H222" s="94"/>
      <c r="O222" s="94"/>
      <c r="U222" s="94"/>
      <c r="Z222" s="94"/>
    </row>
    <row r="223" spans="8:26" x14ac:dyDescent="0.25">
      <c r="H223" s="94"/>
      <c r="O223" s="94"/>
      <c r="U223" s="94"/>
      <c r="Z223" s="94"/>
    </row>
    <row r="224" spans="8:26" x14ac:dyDescent="0.25">
      <c r="H224" s="94"/>
      <c r="O224" s="94"/>
      <c r="U224" s="94"/>
      <c r="Z224" s="94"/>
    </row>
    <row r="225" spans="8:26" x14ac:dyDescent="0.25">
      <c r="H225" s="94"/>
      <c r="O225" s="94"/>
      <c r="U225" s="94"/>
      <c r="Z225" s="94"/>
    </row>
    <row r="226" spans="8:26" x14ac:dyDescent="0.25">
      <c r="H226" s="94"/>
      <c r="O226" s="94"/>
      <c r="U226" s="94"/>
      <c r="Z226" s="94"/>
    </row>
    <row r="227" spans="8:26" x14ac:dyDescent="0.25">
      <c r="H227" s="94"/>
      <c r="O227" s="94"/>
      <c r="U227" s="94"/>
      <c r="Z227" s="94"/>
    </row>
    <row r="228" spans="8:26" x14ac:dyDescent="0.25">
      <c r="H228" s="94"/>
      <c r="O228" s="94"/>
      <c r="U228" s="94"/>
      <c r="Z228" s="94"/>
    </row>
    <row r="229" spans="8:26" x14ac:dyDescent="0.25">
      <c r="H229" s="94"/>
      <c r="O229" s="94"/>
      <c r="U229" s="94"/>
      <c r="Z229" s="94"/>
    </row>
    <row r="230" spans="8:26" x14ac:dyDescent="0.25">
      <c r="H230" s="94"/>
      <c r="O230" s="94"/>
      <c r="U230" s="94"/>
      <c r="Z230" s="94"/>
    </row>
    <row r="231" spans="8:26" x14ac:dyDescent="0.25">
      <c r="H231" s="94"/>
      <c r="O231" s="94"/>
      <c r="U231" s="94"/>
      <c r="Z231" s="94"/>
    </row>
    <row r="232" spans="8:26" x14ac:dyDescent="0.25">
      <c r="H232" s="94"/>
      <c r="O232" s="94"/>
      <c r="U232" s="94"/>
      <c r="Z232" s="94"/>
    </row>
    <row r="233" spans="8:26" x14ac:dyDescent="0.25">
      <c r="H233" s="94"/>
      <c r="O233" s="94"/>
      <c r="U233" s="94"/>
      <c r="Z233" s="94"/>
    </row>
    <row r="234" spans="8:26" x14ac:dyDescent="0.25">
      <c r="H234" s="94"/>
      <c r="O234" s="94"/>
      <c r="U234" s="94"/>
      <c r="Z234" s="94"/>
    </row>
    <row r="235" spans="8:26" x14ac:dyDescent="0.25">
      <c r="H235" s="94"/>
      <c r="O235" s="94"/>
      <c r="U235" s="94"/>
      <c r="Z235" s="94"/>
    </row>
    <row r="236" spans="8:26" x14ac:dyDescent="0.25">
      <c r="H236" s="94"/>
      <c r="O236" s="94"/>
      <c r="U236" s="94"/>
      <c r="Z236" s="94"/>
    </row>
    <row r="237" spans="8:26" x14ac:dyDescent="0.25">
      <c r="H237" s="94"/>
      <c r="O237" s="94"/>
      <c r="U237" s="94"/>
      <c r="Z237" s="94"/>
    </row>
    <row r="238" spans="8:26" x14ac:dyDescent="0.25">
      <c r="H238" s="94"/>
      <c r="O238" s="94"/>
      <c r="U238" s="94"/>
      <c r="Z238" s="94"/>
    </row>
    <row r="239" spans="8:26" x14ac:dyDescent="0.25">
      <c r="H239" s="94"/>
      <c r="O239" s="94"/>
      <c r="U239" s="94"/>
      <c r="Z239" s="94"/>
    </row>
    <row r="240" spans="8:26" x14ac:dyDescent="0.25">
      <c r="H240" s="94"/>
      <c r="O240" s="94"/>
      <c r="U240" s="94"/>
      <c r="Z240" s="94"/>
    </row>
    <row r="241" spans="8:26" x14ac:dyDescent="0.25">
      <c r="H241" s="94"/>
      <c r="O241" s="94"/>
      <c r="U241" s="94"/>
      <c r="Z241" s="94"/>
    </row>
    <row r="242" spans="8:26" x14ac:dyDescent="0.25">
      <c r="H242" s="94"/>
      <c r="O242" s="94"/>
      <c r="U242" s="94"/>
      <c r="Z242" s="94"/>
    </row>
    <row r="243" spans="8:26" x14ac:dyDescent="0.25">
      <c r="H243" s="94"/>
      <c r="O243" s="94"/>
      <c r="U243" s="94"/>
      <c r="Z243" s="94"/>
    </row>
    <row r="244" spans="8:26" x14ac:dyDescent="0.25">
      <c r="H244" s="94"/>
      <c r="O244" s="94"/>
      <c r="U244" s="94"/>
      <c r="Z244" s="94"/>
    </row>
    <row r="245" spans="8:26" x14ac:dyDescent="0.25">
      <c r="H245" s="94"/>
      <c r="O245" s="94"/>
      <c r="U245" s="94"/>
      <c r="Z245" s="94"/>
    </row>
    <row r="246" spans="8:26" x14ac:dyDescent="0.25">
      <c r="H246" s="94"/>
      <c r="O246" s="94"/>
      <c r="U246" s="94"/>
      <c r="Z246" s="94"/>
    </row>
    <row r="247" spans="8:26" x14ac:dyDescent="0.25">
      <c r="H247" s="94"/>
      <c r="O247" s="94"/>
      <c r="U247" s="94"/>
      <c r="Z247" s="94"/>
    </row>
    <row r="248" spans="8:26" x14ac:dyDescent="0.25">
      <c r="H248" s="94"/>
      <c r="O248" s="94"/>
      <c r="U248" s="94"/>
      <c r="Z248" s="94"/>
    </row>
    <row r="249" spans="8:26" x14ac:dyDescent="0.25">
      <c r="H249" s="94"/>
      <c r="O249" s="94"/>
      <c r="U249" s="94"/>
      <c r="Z249" s="94"/>
    </row>
    <row r="250" spans="8:26" x14ac:dyDescent="0.25">
      <c r="H250" s="94"/>
      <c r="O250" s="94"/>
      <c r="U250" s="94"/>
      <c r="Z250" s="94"/>
    </row>
    <row r="251" spans="8:26" x14ac:dyDescent="0.25">
      <c r="H251" s="94"/>
      <c r="O251" s="94"/>
      <c r="U251" s="94"/>
      <c r="Z251" s="94"/>
    </row>
    <row r="252" spans="8:26" x14ac:dyDescent="0.25">
      <c r="H252" s="94"/>
      <c r="O252" s="94"/>
      <c r="U252" s="94"/>
      <c r="Z252" s="94"/>
    </row>
    <row r="253" spans="8:26" x14ac:dyDescent="0.25">
      <c r="H253" s="94"/>
      <c r="O253" s="94"/>
      <c r="U253" s="94"/>
      <c r="Z253" s="94"/>
    </row>
    <row r="254" spans="8:26" x14ac:dyDescent="0.25">
      <c r="H254" s="94"/>
      <c r="O254" s="94"/>
      <c r="U254" s="94"/>
      <c r="Z254" s="94"/>
    </row>
    <row r="255" spans="8:26" x14ac:dyDescent="0.25">
      <c r="H255" s="94"/>
      <c r="O255" s="94"/>
      <c r="U255" s="94"/>
      <c r="Z255" s="94"/>
    </row>
    <row r="256" spans="8:26" x14ac:dyDescent="0.25">
      <c r="H256" s="94"/>
      <c r="O256" s="94"/>
      <c r="U256" s="94"/>
      <c r="Z256" s="94"/>
    </row>
    <row r="257" spans="8:26" x14ac:dyDescent="0.25">
      <c r="H257" s="94"/>
      <c r="O257" s="94"/>
      <c r="U257" s="94"/>
      <c r="Z257" s="94"/>
    </row>
    <row r="258" spans="8:26" x14ac:dyDescent="0.25">
      <c r="H258" s="94"/>
      <c r="O258" s="94"/>
      <c r="U258" s="94"/>
      <c r="Z258" s="94"/>
    </row>
    <row r="259" spans="8:26" x14ac:dyDescent="0.25">
      <c r="H259" s="94"/>
      <c r="O259" s="94"/>
      <c r="U259" s="94"/>
      <c r="Z259" s="94"/>
    </row>
    <row r="260" spans="8:26" x14ac:dyDescent="0.25">
      <c r="H260" s="94"/>
      <c r="O260" s="94"/>
      <c r="U260" s="94"/>
      <c r="Z260" s="94"/>
    </row>
    <row r="261" spans="8:26" x14ac:dyDescent="0.25">
      <c r="H261" s="94"/>
      <c r="O261" s="94"/>
      <c r="U261" s="94"/>
      <c r="Z261" s="94"/>
    </row>
    <row r="262" spans="8:26" x14ac:dyDescent="0.25">
      <c r="H262" s="94"/>
      <c r="O262" s="94"/>
      <c r="U262" s="94"/>
      <c r="Z262" s="94"/>
    </row>
    <row r="263" spans="8:26" x14ac:dyDescent="0.25">
      <c r="H263" s="94"/>
      <c r="O263" s="94"/>
      <c r="U263" s="94"/>
      <c r="Z263" s="94"/>
    </row>
    <row r="264" spans="8:26" x14ac:dyDescent="0.25">
      <c r="H264" s="94"/>
      <c r="O264" s="94"/>
      <c r="U264" s="94"/>
      <c r="Z264" s="94"/>
    </row>
    <row r="265" spans="8:26" x14ac:dyDescent="0.25">
      <c r="H265" s="94"/>
      <c r="O265" s="94"/>
      <c r="U265" s="94"/>
      <c r="Z265" s="94"/>
    </row>
    <row r="266" spans="8:26" x14ac:dyDescent="0.25">
      <c r="H266" s="94"/>
      <c r="O266" s="94"/>
      <c r="U266" s="94"/>
      <c r="Z266" s="94"/>
    </row>
    <row r="267" spans="8:26" x14ac:dyDescent="0.25">
      <c r="H267" s="94"/>
      <c r="O267" s="94"/>
      <c r="U267" s="94"/>
      <c r="Z267" s="94"/>
    </row>
    <row r="268" spans="8:26" x14ac:dyDescent="0.25">
      <c r="H268" s="94"/>
      <c r="O268" s="94"/>
      <c r="U268" s="94"/>
      <c r="Z268" s="94"/>
    </row>
    <row r="269" spans="8:26" x14ac:dyDescent="0.25">
      <c r="H269" s="94"/>
      <c r="O269" s="94"/>
      <c r="U269" s="94"/>
      <c r="Z269" s="94"/>
    </row>
    <row r="270" spans="8:26" x14ac:dyDescent="0.25">
      <c r="H270" s="94"/>
      <c r="O270" s="94"/>
      <c r="U270" s="94"/>
      <c r="Z270" s="94"/>
    </row>
    <row r="271" spans="8:26" x14ac:dyDescent="0.25">
      <c r="H271" s="94"/>
      <c r="O271" s="94"/>
      <c r="U271" s="94"/>
      <c r="Z271" s="94"/>
    </row>
    <row r="272" spans="8:26" x14ac:dyDescent="0.25">
      <c r="H272" s="94"/>
      <c r="O272" s="94"/>
      <c r="U272" s="94"/>
      <c r="Z272" s="94"/>
    </row>
    <row r="273" spans="8:26" x14ac:dyDescent="0.25">
      <c r="H273" s="94"/>
      <c r="O273" s="94"/>
      <c r="U273" s="94"/>
      <c r="Z273" s="94"/>
    </row>
    <row r="274" spans="8:26" x14ac:dyDescent="0.25">
      <c r="H274" s="94"/>
      <c r="O274" s="94"/>
      <c r="U274" s="94"/>
      <c r="Z274" s="94"/>
    </row>
    <row r="275" spans="8:26" x14ac:dyDescent="0.25">
      <c r="H275" s="94"/>
      <c r="O275" s="94"/>
      <c r="U275" s="94"/>
      <c r="Z275" s="94"/>
    </row>
    <row r="276" spans="8:26" x14ac:dyDescent="0.25">
      <c r="H276" s="94"/>
      <c r="O276" s="94"/>
      <c r="U276" s="94"/>
      <c r="Z276" s="94"/>
    </row>
    <row r="277" spans="8:26" x14ac:dyDescent="0.25">
      <c r="H277" s="94"/>
      <c r="O277" s="94"/>
      <c r="U277" s="94"/>
      <c r="Z277" s="94"/>
    </row>
    <row r="278" spans="8:26" x14ac:dyDescent="0.25">
      <c r="H278" s="94"/>
      <c r="O278" s="94"/>
      <c r="U278" s="94"/>
      <c r="Z278" s="94"/>
    </row>
    <row r="279" spans="8:26" x14ac:dyDescent="0.25">
      <c r="H279" s="94"/>
      <c r="O279" s="94"/>
      <c r="U279" s="94"/>
      <c r="Z279" s="94"/>
    </row>
    <row r="280" spans="8:26" x14ac:dyDescent="0.25">
      <c r="H280" s="94"/>
      <c r="O280" s="94"/>
      <c r="U280" s="94"/>
      <c r="Z280" s="94"/>
    </row>
    <row r="281" spans="8:26" x14ac:dyDescent="0.25">
      <c r="H281" s="94"/>
      <c r="O281" s="94"/>
      <c r="U281" s="94"/>
      <c r="Z281" s="94"/>
    </row>
    <row r="282" spans="8:26" x14ac:dyDescent="0.25">
      <c r="H282" s="94"/>
      <c r="O282" s="94"/>
      <c r="U282" s="94"/>
      <c r="Z282" s="94"/>
    </row>
    <row r="283" spans="8:26" x14ac:dyDescent="0.25">
      <c r="H283" s="94"/>
      <c r="O283" s="94"/>
      <c r="U283" s="94"/>
      <c r="Z283" s="94"/>
    </row>
    <row r="284" spans="8:26" x14ac:dyDescent="0.25">
      <c r="H284" s="94"/>
      <c r="O284" s="94"/>
      <c r="U284" s="94"/>
      <c r="Z284" s="94"/>
    </row>
    <row r="285" spans="8:26" x14ac:dyDescent="0.25">
      <c r="H285" s="94"/>
      <c r="O285" s="94"/>
      <c r="U285" s="94"/>
      <c r="Z285" s="94"/>
    </row>
    <row r="286" spans="8:26" x14ac:dyDescent="0.25">
      <c r="H286" s="94"/>
      <c r="O286" s="94"/>
      <c r="U286" s="94"/>
      <c r="Z286" s="94"/>
    </row>
    <row r="287" spans="8:26" x14ac:dyDescent="0.25">
      <c r="H287" s="94"/>
      <c r="O287" s="94"/>
      <c r="U287" s="94"/>
      <c r="Z287" s="94"/>
    </row>
    <row r="288" spans="8:26" x14ac:dyDescent="0.25">
      <c r="H288" s="94"/>
      <c r="O288" s="94"/>
      <c r="U288" s="94"/>
      <c r="Z288" s="94"/>
    </row>
    <row r="289" spans="8:26" x14ac:dyDescent="0.25">
      <c r="H289" s="94"/>
      <c r="O289" s="94"/>
      <c r="U289" s="94"/>
      <c r="Z289" s="94"/>
    </row>
    <row r="290" spans="8:26" x14ac:dyDescent="0.25">
      <c r="H290" s="94"/>
      <c r="O290" s="94"/>
      <c r="U290" s="94"/>
      <c r="Z290" s="94"/>
    </row>
    <row r="291" spans="8:26" x14ac:dyDescent="0.25">
      <c r="H291" s="94"/>
      <c r="O291" s="94"/>
      <c r="U291" s="94"/>
      <c r="Z291" s="94"/>
    </row>
    <row r="292" spans="8:26" x14ac:dyDescent="0.25">
      <c r="H292" s="94"/>
      <c r="O292" s="94"/>
      <c r="U292" s="94"/>
      <c r="Z292" s="94"/>
    </row>
    <row r="293" spans="8:26" x14ac:dyDescent="0.25">
      <c r="H293" s="94"/>
      <c r="O293" s="94"/>
      <c r="U293" s="94"/>
      <c r="Z293" s="94"/>
    </row>
    <row r="294" spans="8:26" x14ac:dyDescent="0.25">
      <c r="H294" s="94"/>
      <c r="O294" s="94"/>
      <c r="U294" s="94"/>
      <c r="Z294" s="94"/>
    </row>
    <row r="295" spans="8:26" x14ac:dyDescent="0.25">
      <c r="H295" s="94"/>
      <c r="O295" s="94"/>
      <c r="U295" s="94"/>
      <c r="Z295" s="94"/>
    </row>
    <row r="296" spans="8:26" x14ac:dyDescent="0.25">
      <c r="H296" s="94"/>
      <c r="O296" s="94"/>
      <c r="U296" s="94"/>
      <c r="Z296" s="94"/>
    </row>
    <row r="297" spans="8:26" x14ac:dyDescent="0.25">
      <c r="H297" s="94"/>
      <c r="O297" s="94"/>
      <c r="U297" s="94"/>
      <c r="Z297" s="94"/>
    </row>
    <row r="298" spans="8:26" x14ac:dyDescent="0.25">
      <c r="H298" s="94"/>
      <c r="O298" s="94"/>
      <c r="U298" s="94"/>
      <c r="Z298" s="94"/>
    </row>
    <row r="299" spans="8:26" x14ac:dyDescent="0.25">
      <c r="H299" s="94"/>
      <c r="O299" s="94"/>
      <c r="U299" s="94"/>
      <c r="Z299" s="94"/>
    </row>
    <row r="300" spans="8:26" x14ac:dyDescent="0.25">
      <c r="H300" s="94"/>
      <c r="O300" s="94"/>
      <c r="U300" s="94"/>
      <c r="Z300" s="94"/>
    </row>
    <row r="301" spans="8:26" x14ac:dyDescent="0.25">
      <c r="H301" s="94"/>
      <c r="O301" s="94"/>
      <c r="U301" s="94"/>
      <c r="Z301" s="94"/>
    </row>
    <row r="302" spans="8:26" x14ac:dyDescent="0.25">
      <c r="H302" s="94"/>
      <c r="O302" s="94"/>
      <c r="U302" s="94"/>
      <c r="Z302" s="94"/>
    </row>
    <row r="303" spans="8:26" x14ac:dyDescent="0.25">
      <c r="H303" s="94"/>
      <c r="O303" s="94"/>
      <c r="U303" s="94"/>
      <c r="Z303" s="94"/>
    </row>
    <row r="304" spans="8:26" x14ac:dyDescent="0.25">
      <c r="H304" s="94"/>
      <c r="O304" s="94"/>
      <c r="U304" s="94"/>
      <c r="Z304" s="94"/>
    </row>
    <row r="305" spans="8:26" x14ac:dyDescent="0.25">
      <c r="H305" s="94"/>
      <c r="O305" s="94"/>
      <c r="U305" s="94"/>
      <c r="Z305" s="94"/>
    </row>
    <row r="306" spans="8:26" x14ac:dyDescent="0.25">
      <c r="H306" s="94"/>
      <c r="O306" s="94"/>
      <c r="U306" s="94"/>
      <c r="Z306" s="94"/>
    </row>
    <row r="307" spans="8:26" x14ac:dyDescent="0.25">
      <c r="H307" s="94"/>
      <c r="O307" s="94"/>
      <c r="U307" s="94"/>
      <c r="Z307" s="94"/>
    </row>
    <row r="308" spans="8:26" x14ac:dyDescent="0.25">
      <c r="H308" s="94"/>
      <c r="O308" s="94"/>
      <c r="U308" s="94"/>
      <c r="Z308" s="94"/>
    </row>
    <row r="309" spans="8:26" x14ac:dyDescent="0.25">
      <c r="H309" s="94"/>
      <c r="O309" s="94"/>
      <c r="U309" s="94"/>
      <c r="Z309" s="94"/>
    </row>
    <row r="310" spans="8:26" x14ac:dyDescent="0.25">
      <c r="H310" s="94"/>
      <c r="O310" s="94"/>
      <c r="U310" s="94"/>
      <c r="Z310" s="94"/>
    </row>
    <row r="311" spans="8:26" x14ac:dyDescent="0.25">
      <c r="H311" s="94"/>
      <c r="O311" s="94"/>
      <c r="U311" s="94"/>
      <c r="Z311" s="94"/>
    </row>
    <row r="312" spans="8:26" x14ac:dyDescent="0.25">
      <c r="H312" s="94"/>
      <c r="O312" s="94"/>
      <c r="U312" s="94"/>
      <c r="Z312" s="94"/>
    </row>
    <row r="313" spans="8:26" x14ac:dyDescent="0.25">
      <c r="H313" s="94"/>
      <c r="O313" s="94"/>
      <c r="U313" s="94"/>
      <c r="Z313" s="94"/>
    </row>
    <row r="314" spans="8:26" x14ac:dyDescent="0.25">
      <c r="H314" s="94"/>
      <c r="O314" s="94"/>
      <c r="U314" s="94"/>
      <c r="Z314" s="94"/>
    </row>
    <row r="315" spans="8:26" x14ac:dyDescent="0.25">
      <c r="H315" s="94"/>
      <c r="O315" s="94"/>
      <c r="U315" s="94"/>
      <c r="Z315" s="94"/>
    </row>
    <row r="316" spans="8:26" x14ac:dyDescent="0.25">
      <c r="H316" s="94"/>
      <c r="O316" s="94"/>
      <c r="U316" s="94"/>
      <c r="Z316" s="94"/>
    </row>
    <row r="317" spans="8:26" x14ac:dyDescent="0.25">
      <c r="H317" s="94"/>
      <c r="O317" s="94"/>
      <c r="U317" s="94"/>
      <c r="Z317" s="94"/>
    </row>
    <row r="318" spans="8:26" x14ac:dyDescent="0.25">
      <c r="H318" s="94"/>
      <c r="O318" s="94"/>
      <c r="U318" s="94"/>
      <c r="Z318" s="94"/>
    </row>
    <row r="319" spans="8:26" x14ac:dyDescent="0.25">
      <c r="H319" s="94"/>
      <c r="O319" s="94"/>
      <c r="U319" s="94"/>
      <c r="Z319" s="94"/>
    </row>
    <row r="320" spans="8:26" x14ac:dyDescent="0.25">
      <c r="H320" s="94"/>
      <c r="O320" s="94"/>
      <c r="U320" s="94"/>
      <c r="Z320" s="94"/>
    </row>
    <row r="321" spans="8:26" x14ac:dyDescent="0.25">
      <c r="H321" s="94"/>
      <c r="O321" s="94"/>
      <c r="U321" s="94"/>
      <c r="Z321" s="94"/>
    </row>
    <row r="322" spans="8:26" x14ac:dyDescent="0.25">
      <c r="H322" s="94"/>
      <c r="O322" s="94"/>
      <c r="U322" s="94"/>
      <c r="Z322" s="94"/>
    </row>
    <row r="323" spans="8:26" x14ac:dyDescent="0.25">
      <c r="H323" s="94"/>
      <c r="O323" s="94"/>
      <c r="U323" s="94"/>
      <c r="Z323" s="94"/>
    </row>
    <row r="324" spans="8:26" x14ac:dyDescent="0.25">
      <c r="H324" s="94"/>
      <c r="O324" s="94"/>
      <c r="U324" s="94"/>
      <c r="Z324" s="94"/>
    </row>
    <row r="325" spans="8:26" x14ac:dyDescent="0.25">
      <c r="H325" s="94"/>
      <c r="O325" s="94"/>
      <c r="U325" s="94"/>
      <c r="Z325" s="94"/>
    </row>
    <row r="326" spans="8:26" x14ac:dyDescent="0.25">
      <c r="H326" s="94"/>
      <c r="O326" s="94"/>
      <c r="U326" s="94"/>
      <c r="Z326" s="94"/>
    </row>
    <row r="327" spans="8:26" x14ac:dyDescent="0.25">
      <c r="H327" s="94"/>
      <c r="O327" s="94"/>
      <c r="U327" s="94"/>
      <c r="Z327" s="94"/>
    </row>
    <row r="328" spans="8:26" x14ac:dyDescent="0.25">
      <c r="H328" s="94"/>
      <c r="O328" s="94"/>
      <c r="U328" s="94"/>
      <c r="Z328" s="94"/>
    </row>
    <row r="329" spans="8:26" x14ac:dyDescent="0.25">
      <c r="H329" s="94"/>
      <c r="O329" s="94"/>
      <c r="U329" s="94"/>
      <c r="Z329" s="94"/>
    </row>
  </sheetData>
  <sheetProtection password="CEB5" sheet="1" objects="1" scenarios="1" formatCells="0" formatColumns="0" formatRows="0" insertColumns="0" insertRows="0" insertHyperlinks="0" deleteColumns="0" deleteRows="0"/>
  <autoFilter ref="A7:AC88"/>
  <mergeCells count="37">
    <mergeCell ref="A61:A63"/>
    <mergeCell ref="A19:A21"/>
    <mergeCell ref="A22:A23"/>
    <mergeCell ref="D2:AA2"/>
    <mergeCell ref="B4:B5"/>
    <mergeCell ref="B6:C6"/>
    <mergeCell ref="A8:A10"/>
    <mergeCell ref="A16:A18"/>
    <mergeCell ref="A11:A13"/>
    <mergeCell ref="B61:B62"/>
    <mergeCell ref="C61:C62"/>
    <mergeCell ref="F61:F62"/>
    <mergeCell ref="D61:D62"/>
    <mergeCell ref="E61:E62"/>
    <mergeCell ref="G61:G62"/>
    <mergeCell ref="H61:H62"/>
    <mergeCell ref="I61:I62"/>
    <mergeCell ref="J61:J62"/>
    <mergeCell ref="K61:K62"/>
    <mergeCell ref="L61:L62"/>
    <mergeCell ref="M61:M62"/>
    <mergeCell ref="N61:N62"/>
    <mergeCell ref="O61:O62"/>
    <mergeCell ref="P61:P62"/>
    <mergeCell ref="Q61:Q62"/>
    <mergeCell ref="R61:R62"/>
    <mergeCell ref="S61:S62"/>
    <mergeCell ref="T61:T62"/>
    <mergeCell ref="U61:U62"/>
    <mergeCell ref="V61:V62"/>
    <mergeCell ref="W61:W62"/>
    <mergeCell ref="AC61:AC62"/>
    <mergeCell ref="X61:X62"/>
    <mergeCell ref="Y61:Y62"/>
    <mergeCell ref="Z61:Z62"/>
    <mergeCell ref="AA61:AA62"/>
    <mergeCell ref="AB61:AB62"/>
  </mergeCells>
  <printOptions horizontalCentered="1"/>
  <pageMargins left="0.25" right="0.25" top="0.65" bottom="0.65" header="0.5" footer="0.5"/>
  <pageSetup paperSize="5" scale="54" fitToHeight="0" orientation="landscape" cellComments="asDisplayed" r:id="rId1"/>
  <headerFooter>
    <oddFooter>&amp;L&amp;"Arial,Regular"Los Angeles Unified School District
Barton Hill Elementary School
Rev. 08.17.18&amp;R&amp;"Arial,Regular"&amp;P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4"/>
  <sheetViews>
    <sheetView workbookViewId="0">
      <selection activeCell="A5" sqref="A5"/>
    </sheetView>
  </sheetViews>
  <sheetFormatPr defaultColWidth="9" defaultRowHeight="12.75" x14ac:dyDescent="0.2"/>
  <cols>
    <col min="1" max="1" width="56.5703125" customWidth="1"/>
  </cols>
  <sheetData>
    <row r="1" spans="1:1" ht="15.75" x14ac:dyDescent="0.25">
      <c r="A1" s="1"/>
    </row>
    <row r="2" spans="1:1" ht="21" x14ac:dyDescent="0.35">
      <c r="A2" s="2" t="s">
        <v>35</v>
      </c>
    </row>
    <row r="3" spans="1:1" ht="21" x14ac:dyDescent="0.35">
      <c r="A3" s="2" t="s">
        <v>36</v>
      </c>
    </row>
    <row r="4" spans="1:1" ht="21" x14ac:dyDescent="0.35">
      <c r="A4" s="2"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Form 2a-Planning</vt:lpstr>
      <vt:lpstr>Form 2e-Restart</vt:lpstr>
      <vt:lpstr>Barton Hill ES</vt:lpstr>
      <vt:lpstr>DATA Fields</vt:lpstr>
      <vt:lpstr>'Barton Hill ES'!Print_Area</vt:lpstr>
      <vt:lpstr>'Form 2a-Planning'!Print_Area</vt:lpstr>
      <vt:lpstr>'Form 2e-Restart'!Print_Area</vt:lpstr>
      <vt:lpstr>'Barton Hill ES'!Print_Titles</vt:lpstr>
      <vt:lpstr>'Form 2a-Planning'!Print_Titles</vt:lpstr>
      <vt:lpstr>'Form 2e-Restart'!Print_Titles</vt:lpstr>
    </vt:vector>
  </TitlesOfParts>
  <Company>California Department of Education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Form-02: SIG Cohort 4 Budget Documents - Title I Part A (CA Dept of Education)</dc:title>
  <dc:subject>Budget documents for the School Improvement Grant (SIG) Cohort 4.</dc:subject>
  <dc:creator>School Turnaround Office</dc:creator>
  <cp:lastModifiedBy>Windows User</cp:lastModifiedBy>
  <cp:revision/>
  <cp:lastPrinted>2018-08-11T23:15:19Z</cp:lastPrinted>
  <dcterms:created xsi:type="dcterms:W3CDTF">2011-09-27T21:58:19Z</dcterms:created>
  <dcterms:modified xsi:type="dcterms:W3CDTF">2018-09-06T22:20:17Z</dcterms:modified>
</cp:coreProperties>
</file>